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2120" windowHeight="7965" tabRatio="561"/>
  </bookViews>
  <sheets>
    <sheet name="bai 1" sheetId="1" r:id="rId1"/>
    <sheet name="Bài 2" sheetId="2" r:id="rId2"/>
    <sheet name="Bài 3" sheetId="3" r:id="rId3"/>
    <sheet name="Bài 4" sheetId="4" r:id="rId4"/>
    <sheet name="Bài 5" sheetId="5" r:id="rId5"/>
    <sheet name="Bài 6" sheetId="6" r:id="rId6"/>
    <sheet name="Bài 7" sheetId="7" r:id="rId7"/>
    <sheet name="Bài 8" sheetId="8" r:id="rId8"/>
    <sheet name="Bài 9" sheetId="9" r:id="rId9"/>
    <sheet name="Bài 10" sheetId="10" r:id="rId10"/>
    <sheet name="Bài 11" sheetId="11" r:id="rId11"/>
    <sheet name="Bài 12" sheetId="12" r:id="rId12"/>
    <sheet name="Bài 13" sheetId="13" r:id="rId13"/>
    <sheet name="Bài 14" sheetId="14" r:id="rId14"/>
    <sheet name="Bài 15" sheetId="15" r:id="rId15"/>
    <sheet name="Bài 16" sheetId="16" r:id="rId16"/>
    <sheet name="Bài 17" sheetId="17" r:id="rId17"/>
    <sheet name="Bài 18" sheetId="18" r:id="rId18"/>
    <sheet name="Bài 19" sheetId="19" r:id="rId19"/>
    <sheet name="Bài 20" sheetId="20" r:id="rId20"/>
    <sheet name="Bài 21" sheetId="21" r:id="rId21"/>
    <sheet name="Bài 22" sheetId="22" r:id="rId22"/>
  </sheets>
  <calcPr calcId="125725"/>
</workbook>
</file>

<file path=xl/calcChain.xml><?xml version="1.0" encoding="utf-8"?>
<calcChain xmlns="http://schemas.openxmlformats.org/spreadsheetml/2006/main">
  <c r="F24" i="15"/>
  <c r="F25"/>
  <c r="F26"/>
  <c r="F23"/>
  <c r="M26" i="19"/>
  <c r="M27" s="1"/>
  <c r="M24"/>
  <c r="M23"/>
  <c r="M21"/>
  <c r="M20"/>
  <c r="M19"/>
  <c r="M22" s="1"/>
  <c r="M17"/>
  <c r="M16"/>
  <c r="F6" i="22"/>
  <c r="G6" s="1"/>
  <c r="F7"/>
  <c r="G7" s="1"/>
  <c r="K15" s="1"/>
  <c r="F8"/>
  <c r="G8" s="1"/>
  <c r="K16" s="1"/>
  <c r="F9"/>
  <c r="G9" s="1"/>
  <c r="F5"/>
  <c r="G5" s="1"/>
  <c r="K14" s="1"/>
  <c r="E6"/>
  <c r="E7"/>
  <c r="E8"/>
  <c r="E9"/>
  <c r="E5"/>
  <c r="F5" i="21"/>
  <c r="J5" s="1"/>
  <c r="F6"/>
  <c r="J6" s="1"/>
  <c r="F7"/>
  <c r="J7" s="1"/>
  <c r="F8"/>
  <c r="J8" s="1"/>
  <c r="F9"/>
  <c r="J9" s="1"/>
  <c r="F10"/>
  <c r="J10" s="1"/>
  <c r="F11"/>
  <c r="J11" s="1"/>
  <c r="F12"/>
  <c r="J12" s="1"/>
  <c r="F13"/>
  <c r="J13" s="1"/>
  <c r="F4"/>
  <c r="J4" s="1"/>
  <c r="K8" i="20"/>
  <c r="K9"/>
  <c r="K10"/>
  <c r="K11"/>
  <c r="K12"/>
  <c r="K7"/>
  <c r="G10"/>
  <c r="E8"/>
  <c r="H8" s="1"/>
  <c r="E9"/>
  <c r="H9" s="1"/>
  <c r="E10"/>
  <c r="H10" s="1"/>
  <c r="E11"/>
  <c r="H11" s="1"/>
  <c r="E12"/>
  <c r="H12" s="1"/>
  <c r="E7"/>
  <c r="H7" s="1"/>
  <c r="C8"/>
  <c r="C9"/>
  <c r="C10"/>
  <c r="C11"/>
  <c r="C12"/>
  <c r="C7"/>
  <c r="P6" i="19"/>
  <c r="P7"/>
  <c r="P8"/>
  <c r="P9"/>
  <c r="P10"/>
  <c r="P11"/>
  <c r="P12"/>
  <c r="P5"/>
  <c r="O6"/>
  <c r="O7"/>
  <c r="O8"/>
  <c r="O9"/>
  <c r="O10"/>
  <c r="O11"/>
  <c r="O12"/>
  <c r="O5"/>
  <c r="N6"/>
  <c r="N7"/>
  <c r="N8"/>
  <c r="N9"/>
  <c r="N10"/>
  <c r="N11"/>
  <c r="N12"/>
  <c r="N5"/>
  <c r="I6"/>
  <c r="I7"/>
  <c r="I8"/>
  <c r="I9"/>
  <c r="I10"/>
  <c r="I11"/>
  <c r="I12"/>
  <c r="I5"/>
  <c r="H6"/>
  <c r="H7"/>
  <c r="H8"/>
  <c r="H9"/>
  <c r="H10"/>
  <c r="H11"/>
  <c r="H12"/>
  <c r="H5"/>
  <c r="G6"/>
  <c r="G7"/>
  <c r="G8"/>
  <c r="G9"/>
  <c r="G10"/>
  <c r="G11"/>
  <c r="G12"/>
  <c r="G5"/>
  <c r="D11" i="17"/>
  <c r="F11" s="1"/>
  <c r="G11" s="1"/>
  <c r="D4"/>
  <c r="F4" s="1"/>
  <c r="G4" s="1"/>
  <c r="C11"/>
  <c r="D5"/>
  <c r="D6"/>
  <c r="F6"/>
  <c r="G6" s="1"/>
  <c r="D7"/>
  <c r="D8"/>
  <c r="F8"/>
  <c r="G8" s="1"/>
  <c r="D9"/>
  <c r="D10"/>
  <c r="F10"/>
  <c r="G10" s="1"/>
  <c r="D12"/>
  <c r="C4"/>
  <c r="I5" s="1"/>
  <c r="L5" i="16"/>
  <c r="L6"/>
  <c r="L7"/>
  <c r="L8"/>
  <c r="L9"/>
  <c r="L10"/>
  <c r="L11"/>
  <c r="L12"/>
  <c r="L13"/>
  <c r="L4"/>
  <c r="J5"/>
  <c r="J6"/>
  <c r="J7"/>
  <c r="J8"/>
  <c r="J9"/>
  <c r="J10"/>
  <c r="J11"/>
  <c r="J12"/>
  <c r="J13"/>
  <c r="J4"/>
  <c r="H5"/>
  <c r="H6"/>
  <c r="H7"/>
  <c r="H8"/>
  <c r="H9"/>
  <c r="H10"/>
  <c r="H11"/>
  <c r="H12"/>
  <c r="H13"/>
  <c r="H4"/>
  <c r="I5"/>
  <c r="I6"/>
  <c r="I7"/>
  <c r="I8"/>
  <c r="I9"/>
  <c r="I10"/>
  <c r="I11"/>
  <c r="I12"/>
  <c r="I13"/>
  <c r="I4"/>
  <c r="G5"/>
  <c r="K5"/>
  <c r="E17" s="1"/>
  <c r="G6"/>
  <c r="K6"/>
  <c r="G7"/>
  <c r="K7"/>
  <c r="G8"/>
  <c r="K8"/>
  <c r="G9"/>
  <c r="K9"/>
  <c r="G10"/>
  <c r="K10"/>
  <c r="G11"/>
  <c r="K11"/>
  <c r="G12"/>
  <c r="K12"/>
  <c r="G13"/>
  <c r="K13"/>
  <c r="G4"/>
  <c r="K4"/>
  <c r="E18" s="1"/>
  <c r="D6" i="22"/>
  <c r="D7"/>
  <c r="D8"/>
  <c r="D9"/>
  <c r="D5"/>
  <c r="C6"/>
  <c r="C7"/>
  <c r="C8"/>
  <c r="C9"/>
  <c r="C5"/>
  <c r="C5" i="21"/>
  <c r="C6"/>
  <c r="C7"/>
  <c r="C8"/>
  <c r="C9"/>
  <c r="C10"/>
  <c r="C11"/>
  <c r="C12"/>
  <c r="C13"/>
  <c r="C4"/>
  <c r="J18" s="1"/>
  <c r="D7" i="20"/>
  <c r="G7" s="1"/>
  <c r="I7" s="1"/>
  <c r="D8"/>
  <c r="G8" s="1"/>
  <c r="I8" s="1"/>
  <c r="D9"/>
  <c r="G9" s="1"/>
  <c r="I9" s="1"/>
  <c r="D11"/>
  <c r="G11" s="1"/>
  <c r="I11" s="1"/>
  <c r="D12"/>
  <c r="G12" s="1"/>
  <c r="I12" s="1"/>
  <c r="D10"/>
  <c r="E4"/>
  <c r="A4"/>
  <c r="I10" i="18"/>
  <c r="I11"/>
  <c r="I4"/>
  <c r="I5"/>
  <c r="I6"/>
  <c r="I7"/>
  <c r="I8"/>
  <c r="I9"/>
  <c r="D5"/>
  <c r="G5" s="1"/>
  <c r="H5" s="1"/>
  <c r="D6"/>
  <c r="G6" s="1"/>
  <c r="H6" s="1"/>
  <c r="D7"/>
  <c r="G7" s="1"/>
  <c r="H7" s="1"/>
  <c r="D8"/>
  <c r="G8" s="1"/>
  <c r="H8" s="1"/>
  <c r="D9"/>
  <c r="G9" s="1"/>
  <c r="H9" s="1"/>
  <c r="D10"/>
  <c r="G10" s="1"/>
  <c r="H10" s="1"/>
  <c r="D11"/>
  <c r="G11" s="1"/>
  <c r="H11" s="1"/>
  <c r="D4"/>
  <c r="G4" s="1"/>
  <c r="H4" s="1"/>
  <c r="C5"/>
  <c r="C6"/>
  <c r="C7"/>
  <c r="C8"/>
  <c r="C9"/>
  <c r="C10"/>
  <c r="C11"/>
  <c r="C4"/>
  <c r="F5" i="17"/>
  <c r="G5" s="1"/>
  <c r="F7"/>
  <c r="G7" s="1"/>
  <c r="F9"/>
  <c r="G9" s="1"/>
  <c r="F12"/>
  <c r="G12" s="1"/>
  <c r="C5"/>
  <c r="C6"/>
  <c r="C7"/>
  <c r="C8"/>
  <c r="C9"/>
  <c r="C10"/>
  <c r="C12"/>
  <c r="H5" i="15"/>
  <c r="H6"/>
  <c r="H7"/>
  <c r="H8"/>
  <c r="H9"/>
  <c r="H10"/>
  <c r="H11"/>
  <c r="H12"/>
  <c r="H13"/>
  <c r="H14"/>
  <c r="H15"/>
  <c r="H4"/>
  <c r="G5"/>
  <c r="G6"/>
  <c r="G7"/>
  <c r="G8"/>
  <c r="G9"/>
  <c r="G10"/>
  <c r="G11"/>
  <c r="G12"/>
  <c r="G13"/>
  <c r="G14"/>
  <c r="G15"/>
  <c r="G4"/>
  <c r="E5" i="14"/>
  <c r="G5" s="1"/>
  <c r="H5" s="1"/>
  <c r="E6"/>
  <c r="G6" s="1"/>
  <c r="H6" s="1"/>
  <c r="E7"/>
  <c r="G7" s="1"/>
  <c r="H7" s="1"/>
  <c r="E8"/>
  <c r="G8" s="1"/>
  <c r="H8" s="1"/>
  <c r="E9"/>
  <c r="G9" s="1"/>
  <c r="H9" s="1"/>
  <c r="E10"/>
  <c r="G10" s="1"/>
  <c r="H10" s="1"/>
  <c r="E4"/>
  <c r="G4" s="1"/>
  <c r="H4" s="1"/>
  <c r="D5"/>
  <c r="D6"/>
  <c r="D7"/>
  <c r="D8"/>
  <c r="D9"/>
  <c r="D10"/>
  <c r="D4"/>
  <c r="C17" s="1"/>
  <c r="H5" i="13"/>
  <c r="H6"/>
  <c r="H7"/>
  <c r="H8"/>
  <c r="H4"/>
  <c r="E5"/>
  <c r="G5"/>
  <c r="E6"/>
  <c r="E7"/>
  <c r="G7" s="1"/>
  <c r="E8"/>
  <c r="G8" s="1"/>
  <c r="E4"/>
  <c r="G4"/>
  <c r="D8"/>
  <c r="D7"/>
  <c r="G6"/>
  <c r="D6"/>
  <c r="D5"/>
  <c r="D4"/>
  <c r="E5" i="12"/>
  <c r="G5" s="1"/>
  <c r="H5" s="1"/>
  <c r="E6"/>
  <c r="G6"/>
  <c r="H6" s="1"/>
  <c r="E7"/>
  <c r="G7" s="1"/>
  <c r="H7" s="1"/>
  <c r="E8"/>
  <c r="G8"/>
  <c r="H8" s="1"/>
  <c r="E4"/>
  <c r="G4" s="1"/>
  <c r="H4" s="1"/>
  <c r="D5"/>
  <c r="D6"/>
  <c r="D7"/>
  <c r="D8"/>
  <c r="D4"/>
  <c r="E5" i="11"/>
  <c r="G5" s="1"/>
  <c r="H5" s="1"/>
  <c r="E6"/>
  <c r="G6"/>
  <c r="H6" s="1"/>
  <c r="E7"/>
  <c r="G7" s="1"/>
  <c r="H7" s="1"/>
  <c r="E8"/>
  <c r="G8"/>
  <c r="H8" s="1"/>
  <c r="E4"/>
  <c r="G4" s="1"/>
  <c r="H4" s="1"/>
  <c r="D6"/>
  <c r="D5"/>
  <c r="D7"/>
  <c r="D8"/>
  <c r="D4"/>
  <c r="H5" i="10"/>
  <c r="I5"/>
  <c r="J5" s="1"/>
  <c r="H6"/>
  <c r="H7"/>
  <c r="I7"/>
  <c r="J7" s="1"/>
  <c r="H8"/>
  <c r="H9"/>
  <c r="I9"/>
  <c r="J9" s="1"/>
  <c r="H10"/>
  <c r="H11"/>
  <c r="I11"/>
  <c r="J11" s="1"/>
  <c r="H4"/>
  <c r="I8" i="9"/>
  <c r="I9"/>
  <c r="I10"/>
  <c r="I11"/>
  <c r="I12"/>
  <c r="I13"/>
  <c r="I7"/>
  <c r="H8"/>
  <c r="J8" s="1"/>
  <c r="K8" s="1"/>
  <c r="H9"/>
  <c r="J9"/>
  <c r="K9" s="1"/>
  <c r="H10"/>
  <c r="J10" s="1"/>
  <c r="K10" s="1"/>
  <c r="H11"/>
  <c r="J11"/>
  <c r="K11" s="1"/>
  <c r="H12"/>
  <c r="J12" s="1"/>
  <c r="K12" s="1"/>
  <c r="H13"/>
  <c r="J13"/>
  <c r="K13" s="1"/>
  <c r="H7"/>
  <c r="J7" s="1"/>
  <c r="K7" s="1"/>
  <c r="G6" i="8"/>
  <c r="G7"/>
  <c r="G8"/>
  <c r="G9"/>
  <c r="G10"/>
  <c r="G11"/>
  <c r="G5"/>
  <c r="F6"/>
  <c r="H6" s="1"/>
  <c r="F7"/>
  <c r="H7" s="1"/>
  <c r="F8"/>
  <c r="H8" s="1"/>
  <c r="F9"/>
  <c r="H9" s="1"/>
  <c r="F10"/>
  <c r="H10" s="1"/>
  <c r="F11"/>
  <c r="H11" s="1"/>
  <c r="F5"/>
  <c r="H5" s="1"/>
  <c r="F5" i="7"/>
  <c r="F6"/>
  <c r="F7"/>
  <c r="F8"/>
  <c r="F4"/>
  <c r="C5"/>
  <c r="C6"/>
  <c r="C7"/>
  <c r="C8"/>
  <c r="C4"/>
  <c r="B5"/>
  <c r="B6"/>
  <c r="B7"/>
  <c r="B8"/>
  <c r="B4"/>
  <c r="F11" i="6"/>
  <c r="G11"/>
  <c r="H10"/>
  <c r="H9"/>
  <c r="I9" s="1"/>
  <c r="H8"/>
  <c r="I8" s="1"/>
  <c r="H7"/>
  <c r="H6"/>
  <c r="H5"/>
  <c r="H4"/>
  <c r="G12" i="5"/>
  <c r="F12"/>
  <c r="G11"/>
  <c r="F11"/>
  <c r="H8"/>
  <c r="H10"/>
  <c r="H4"/>
  <c r="H9"/>
  <c r="H6"/>
  <c r="H7"/>
  <c r="H12"/>
  <c r="H5"/>
  <c r="E10" i="4"/>
  <c r="F10"/>
  <c r="D10"/>
  <c r="G6"/>
  <c r="G7"/>
  <c r="G8"/>
  <c r="G9"/>
  <c r="G5"/>
  <c r="G10" s="1"/>
  <c r="G8" i="3"/>
  <c r="G9"/>
  <c r="H9"/>
  <c r="I9" s="1"/>
  <c r="G10"/>
  <c r="G11"/>
  <c r="H11"/>
  <c r="I11" s="1"/>
  <c r="G12"/>
  <c r="G13"/>
  <c r="H13"/>
  <c r="I13" s="1"/>
  <c r="G14"/>
  <c r="H8"/>
  <c r="I8"/>
  <c r="H10"/>
  <c r="I10"/>
  <c r="H12"/>
  <c r="I12"/>
  <c r="H14"/>
  <c r="I14"/>
  <c r="G7"/>
  <c r="H7"/>
  <c r="D7" i="2"/>
  <c r="D8"/>
  <c r="D9"/>
  <c r="D10"/>
  <c r="D11"/>
  <c r="D12"/>
  <c r="D13"/>
  <c r="G7"/>
  <c r="G13"/>
  <c r="G8"/>
  <c r="G9"/>
  <c r="G10"/>
  <c r="G11"/>
  <c r="G12"/>
  <c r="D11" i="1"/>
  <c r="F11"/>
  <c r="C11"/>
  <c r="E5"/>
  <c r="G5" s="1"/>
  <c r="E6"/>
  <c r="G6" s="1"/>
  <c r="E7"/>
  <c r="G7" s="1"/>
  <c r="E8"/>
  <c r="G8"/>
  <c r="E9"/>
  <c r="G9" s="1"/>
  <c r="E10"/>
  <c r="G10" s="1"/>
  <c r="E4"/>
  <c r="G4" s="1"/>
  <c r="G11" s="1"/>
  <c r="I6" i="6"/>
  <c r="I10"/>
  <c r="I7"/>
  <c r="H11" i="5"/>
  <c r="E16" i="16"/>
  <c r="E11" i="1"/>
  <c r="I7" i="3"/>
  <c r="I4" i="10"/>
  <c r="J4" s="1"/>
  <c r="I10"/>
  <c r="J10" s="1"/>
  <c r="I8"/>
  <c r="J8" s="1"/>
  <c r="I6"/>
  <c r="J6"/>
  <c r="I15" i="15"/>
  <c r="I13"/>
  <c r="J13" s="1"/>
  <c r="K13" s="1"/>
  <c r="I11"/>
  <c r="I9"/>
  <c r="J9" s="1"/>
  <c r="K9" s="1"/>
  <c r="I7"/>
  <c r="I5"/>
  <c r="J5" s="1"/>
  <c r="K5" s="1"/>
  <c r="I4" i="6"/>
  <c r="I5"/>
  <c r="I4" i="15"/>
  <c r="J4"/>
  <c r="K4" s="1"/>
  <c r="I14"/>
  <c r="J14"/>
  <c r="I12"/>
  <c r="J12"/>
  <c r="I10"/>
  <c r="J10"/>
  <c r="K10" s="1"/>
  <c r="I8"/>
  <c r="J8"/>
  <c r="K8" s="1"/>
  <c r="I6"/>
  <c r="J6"/>
  <c r="K6" s="1"/>
  <c r="E19" i="16"/>
  <c r="K14" i="15"/>
  <c r="K12"/>
  <c r="M25" i="19" l="1"/>
  <c r="M18"/>
  <c r="M28" s="1"/>
  <c r="J5" i="8"/>
  <c r="I5"/>
  <c r="J10"/>
  <c r="I10"/>
  <c r="J8"/>
  <c r="I8"/>
  <c r="J6"/>
  <c r="I6"/>
  <c r="C16" i="14"/>
  <c r="I10" i="20"/>
  <c r="I11" i="8"/>
  <c r="J11"/>
  <c r="I9"/>
  <c r="J9"/>
  <c r="I7"/>
  <c r="J7"/>
  <c r="C15" i="14"/>
  <c r="I10" i="17"/>
  <c r="H19" i="20"/>
  <c r="J7" i="15"/>
  <c r="K7" s="1"/>
  <c r="J11"/>
  <c r="K11" s="1"/>
  <c r="J15"/>
  <c r="K15" s="1"/>
  <c r="H20" i="20"/>
  <c r="H18"/>
  <c r="G13" i="21"/>
  <c r="I13" s="1"/>
  <c r="G11"/>
  <c r="I11" s="1"/>
  <c r="G9"/>
  <c r="I9" s="1"/>
  <c r="G7"/>
  <c r="I7" s="1"/>
  <c r="G5"/>
  <c r="I5" s="1"/>
  <c r="J17" s="1"/>
  <c r="H17" i="20"/>
  <c r="G4" i="21"/>
  <c r="I4" s="1"/>
  <c r="G12"/>
  <c r="I12" s="1"/>
  <c r="G10"/>
  <c r="I10" s="1"/>
  <c r="G8"/>
  <c r="I8" s="1"/>
  <c r="G6"/>
  <c r="I6" s="1"/>
</calcChain>
</file>

<file path=xl/sharedStrings.xml><?xml version="1.0" encoding="utf-8"?>
<sst xmlns="http://schemas.openxmlformats.org/spreadsheetml/2006/main" count="744" uniqueCount="416">
  <si>
    <t>Bảng lương công ty trách nhiệm hữu hạn ABC</t>
  </si>
  <si>
    <t>STT</t>
  </si>
  <si>
    <t>Tên Nhân Viên</t>
  </si>
  <si>
    <t>Ngày Công</t>
  </si>
  <si>
    <t>Lương Ngày</t>
  </si>
  <si>
    <t>L:ương Lãnh</t>
  </si>
  <si>
    <t>Ứng</t>
  </si>
  <si>
    <t>Còn Lãnh</t>
  </si>
  <si>
    <t>Nguyễn Thị Hà</t>
  </si>
  <si>
    <t>Trần Hồng Phấn</t>
  </si>
  <si>
    <t>Mai Đức Thành</t>
  </si>
  <si>
    <t>Cao Thành Đạt</t>
  </si>
  <si>
    <t>Lê Minh Tuân</t>
  </si>
  <si>
    <t>Võ Thị Tuyết</t>
  </si>
  <si>
    <t>Ngô Văn Long</t>
  </si>
  <si>
    <t>Tổng Cộng</t>
  </si>
  <si>
    <t>Bảo hiểm Bình Dương - Bảng Lương CBCNV - Tháng 1/2007</t>
  </si>
  <si>
    <t>Họ</t>
  </si>
  <si>
    <t>Tên</t>
  </si>
  <si>
    <t>Ngày Sinh</t>
  </si>
  <si>
    <t>Hệ Số</t>
  </si>
  <si>
    <t>Lương Lãnh</t>
  </si>
  <si>
    <t>Nguyễn Văn</t>
  </si>
  <si>
    <t>Huỳnh Tuấn</t>
  </si>
  <si>
    <t>Nguyễn Mạnh</t>
  </si>
  <si>
    <t>Nguyễn Gia</t>
  </si>
  <si>
    <t>Vũ Minh</t>
  </si>
  <si>
    <t>Đào Thị Thu</t>
  </si>
  <si>
    <t>Huỳnh Thị</t>
  </si>
  <si>
    <t>Tuấn</t>
  </si>
  <si>
    <t>Anh</t>
  </si>
  <si>
    <t>Trung</t>
  </si>
  <si>
    <t>Bảo</t>
  </si>
  <si>
    <t>Thành</t>
  </si>
  <si>
    <t>Hồng</t>
  </si>
  <si>
    <t>Thủy</t>
  </si>
  <si>
    <t xml:space="preserve"> </t>
  </si>
  <si>
    <t>Lương  CB/1
 Tháng</t>
  </si>
  <si>
    <t>Họ Và Tên</t>
  </si>
  <si>
    <t>Thâm Niên</t>
  </si>
  <si>
    <t>Phụ Cấp</t>
  </si>
  <si>
    <t>Bảo Hiểm</t>
  </si>
  <si>
    <t>Bảng điểm sinh viên cho môn học THVP</t>
  </si>
  <si>
    <t>Điểm</t>
  </si>
  <si>
    <t>Lý Thuyết</t>
  </si>
  <si>
    <t>Thực Hành</t>
  </si>
  <si>
    <t>Điểm KK</t>
  </si>
  <si>
    <t>Nguyễn Hoài Thanh</t>
  </si>
  <si>
    <t>Phạm Duy Tuấn</t>
  </si>
  <si>
    <t>Huỳnh Hải Hưng</t>
  </si>
  <si>
    <t>Ngô Chí Thiện</t>
  </si>
  <si>
    <t>Đỗ Cao Bình</t>
  </si>
  <si>
    <t>Điểm TB</t>
  </si>
  <si>
    <t>Bảng điểm Sinh Viên cả năm</t>
  </si>
  <si>
    <t>Sinh Năm</t>
  </si>
  <si>
    <t>Lớp</t>
  </si>
  <si>
    <t>Điểm TB 
HKI</t>
  </si>
  <si>
    <t>Điểm TB 
HKII</t>
  </si>
  <si>
    <t>Điểm TB 
Cả Năm</t>
  </si>
  <si>
    <t>Nguyễn</t>
  </si>
  <si>
    <t>Trần</t>
  </si>
  <si>
    <t>Lê</t>
  </si>
  <si>
    <t>Hồ</t>
  </si>
  <si>
    <t>Phạm</t>
  </si>
  <si>
    <t>Xuân</t>
  </si>
  <si>
    <t>Hạ</t>
  </si>
  <si>
    <t>Thu</t>
  </si>
  <si>
    <t>Đông</t>
  </si>
  <si>
    <t>Tây</t>
  </si>
  <si>
    <t>Nam</t>
  </si>
  <si>
    <t>Bắc</t>
  </si>
  <si>
    <t>C1A</t>
  </si>
  <si>
    <t>A1A</t>
  </si>
  <si>
    <t>Điểm nhỏ nhất</t>
  </si>
  <si>
    <t>Điểm lớn nhất</t>
  </si>
  <si>
    <t>Xếp Hạng</t>
  </si>
  <si>
    <t>Đếm số ô địa chỉ chứa số trong cột</t>
  </si>
  <si>
    <t>Cho bảng theo dỏi nhập xuất hàng</t>
  </si>
  <si>
    <t>Mã hàng</t>
  </si>
  <si>
    <t>T001X</t>
  </si>
  <si>
    <t>M01N</t>
  </si>
  <si>
    <t>M03X</t>
  </si>
  <si>
    <t>T011N</t>
  </si>
  <si>
    <t>T054X</t>
  </si>
  <si>
    <t>Tên
Hàng</t>
  </si>
  <si>
    <t>Loại
Hàng</t>
  </si>
  <si>
    <t>Số
Lượng</t>
  </si>
  <si>
    <t>Đơn Giá</t>
  </si>
  <si>
    <t>Tiền</t>
  </si>
  <si>
    <t>Bảng Điểm Tổng Kết</t>
  </si>
  <si>
    <t>Tên
Sinh Viên</t>
  </si>
  <si>
    <t>HK-DD</t>
  </si>
  <si>
    <t>HKI</t>
  </si>
  <si>
    <t>HKII</t>
  </si>
  <si>
    <t>Điểm 
TBCN</t>
  </si>
  <si>
    <t>Điểm 
Thưởng Phạt</t>
  </si>
  <si>
    <t>Điểm 
KQ</t>
  </si>
  <si>
    <t>Kết Quả</t>
  </si>
  <si>
    <t>Xếp Loại</t>
  </si>
  <si>
    <t>Hùng</t>
  </si>
  <si>
    <t>Quang</t>
  </si>
  <si>
    <t>Hoa</t>
  </si>
  <si>
    <t>Nhàn</t>
  </si>
  <si>
    <t>T</t>
  </si>
  <si>
    <t>K</t>
  </si>
  <si>
    <t>Bảng Điểm Tuyển Sinh Khối A</t>
  </si>
  <si>
    <t>SBD</t>
  </si>
  <si>
    <t>KV</t>
  </si>
  <si>
    <t>DT</t>
  </si>
  <si>
    <t>0125</t>
  </si>
  <si>
    <t>0345</t>
  </si>
  <si>
    <t>0491</t>
  </si>
  <si>
    <t>0524</t>
  </si>
  <si>
    <t>Toán</t>
  </si>
  <si>
    <t>Lý</t>
  </si>
  <si>
    <t>Hóa</t>
  </si>
  <si>
    <t>Tổng Điểm
Thi</t>
  </si>
  <si>
    <t>Tổng Điểm
Ưu Tiên</t>
  </si>
  <si>
    <t>Tổng Điểm
Xét</t>
  </si>
  <si>
    <t>Điểm Chuẩn</t>
  </si>
  <si>
    <t>Bảng kê khai hàng xuất</t>
  </si>
  <si>
    <t>Tên Hàng</t>
  </si>
  <si>
    <t>Mã Hàng</t>
  </si>
  <si>
    <t>Kho</t>
  </si>
  <si>
    <t>Ngày Xuất</t>
  </si>
  <si>
    <t>Số Lượng</t>
  </si>
  <si>
    <t>Trị Giá</t>
  </si>
  <si>
    <t>Thuế</t>
  </si>
  <si>
    <t>Thành Tiền</t>
  </si>
  <si>
    <t>Bàn Gổ</t>
  </si>
  <si>
    <t>Bàn Sắt</t>
  </si>
  <si>
    <t>Bàn Tròn</t>
  </si>
  <si>
    <t>Ghế Dựa</t>
  </si>
  <si>
    <t>Ghế Mây</t>
  </si>
  <si>
    <t>Tủ Gổ</t>
  </si>
  <si>
    <t>Tủ Sắt</t>
  </si>
  <si>
    <t>Tủ Nhựa</t>
  </si>
  <si>
    <t>B001</t>
  </si>
  <si>
    <t>B002</t>
  </si>
  <si>
    <t>B003</t>
  </si>
  <si>
    <t>G004</t>
  </si>
  <si>
    <t>G005</t>
  </si>
  <si>
    <t>T103</t>
  </si>
  <si>
    <t>T104</t>
  </si>
  <si>
    <t>T102</t>
  </si>
  <si>
    <t>NB</t>
  </si>
  <si>
    <t>VIP</t>
  </si>
  <si>
    <t>TT</t>
  </si>
  <si>
    <t>Bảng Kê Khai Bán Hàng</t>
  </si>
  <si>
    <t>G01</t>
  </si>
  <si>
    <t>S02</t>
  </si>
  <si>
    <t>M03</t>
  </si>
  <si>
    <t>B05</t>
  </si>
  <si>
    <t>D01</t>
  </si>
  <si>
    <t>Tháng</t>
  </si>
  <si>
    <t>Lãi</t>
  </si>
  <si>
    <t>Cộng</t>
  </si>
  <si>
    <t>Mã</t>
  </si>
  <si>
    <t>G</t>
  </si>
  <si>
    <t>S</t>
  </si>
  <si>
    <t>B</t>
  </si>
  <si>
    <t>D</t>
  </si>
  <si>
    <t>Gạo</t>
  </si>
  <si>
    <t>Sữa</t>
  </si>
  <si>
    <t>Muối</t>
  </si>
  <si>
    <t>Bánh</t>
  </si>
  <si>
    <t>Đường</t>
  </si>
  <si>
    <t>M</t>
  </si>
  <si>
    <t>Bảng Kê Khai Bán hàng</t>
  </si>
  <si>
    <t>GM01</t>
  </si>
  <si>
    <t>SB02</t>
  </si>
  <si>
    <t>GB03</t>
  </si>
  <si>
    <t>BB05</t>
  </si>
  <si>
    <t>BM01</t>
  </si>
  <si>
    <t>Tiền Thu</t>
  </si>
  <si>
    <t>Tiền Lãi</t>
  </si>
  <si>
    <t>Đơn Giá
 Mua Vào</t>
  </si>
  <si>
    <t>Đơn Giá 
Bán Ra'</t>
  </si>
  <si>
    <t>Ghi Chú</t>
  </si>
  <si>
    <t>Cửa Hàng xăng Dầu Số 1</t>
  </si>
  <si>
    <t>Số
Hóa Đơn</t>
  </si>
  <si>
    <t>Đơn Giá
(đ/lít)</t>
  </si>
  <si>
    <t>Tiền
Hoa Hồng</t>
  </si>
  <si>
    <t>001</t>
  </si>
  <si>
    <t>002</t>
  </si>
  <si>
    <t>003</t>
  </si>
  <si>
    <t>004</t>
  </si>
  <si>
    <t>005</t>
  </si>
  <si>
    <t>006</t>
  </si>
  <si>
    <t>007</t>
  </si>
  <si>
    <t>X</t>
  </si>
  <si>
    <t>N</t>
  </si>
  <si>
    <t>Xăng</t>
  </si>
  <si>
    <t>Nhớt</t>
  </si>
  <si>
    <t>Dầu</t>
  </si>
  <si>
    <t>Tổng Thu 
Tiền
Hoa Hồng</t>
  </si>
  <si>
    <t>Bảng Thanh Toán Lương</t>
  </si>
  <si>
    <t>Phòng
Làm Việc</t>
  </si>
  <si>
    <t>Tên
Nhân Viên</t>
  </si>
  <si>
    <t>Chức
Vụ</t>
  </si>
  <si>
    <t>Lương CB</t>
  </si>
  <si>
    <t>Ngày
Công</t>
  </si>
  <si>
    <t>Lương
Chính</t>
  </si>
  <si>
    <t>Phụ Cấp
Chức Vụ</t>
  </si>
  <si>
    <t>Phụ Cấp
Công Việc</t>
  </si>
  <si>
    <t>Tạm Ứng</t>
  </si>
  <si>
    <t>Còn Lại</t>
  </si>
  <si>
    <t>GĐ</t>
  </si>
  <si>
    <t>HC</t>
  </si>
  <si>
    <t>PX</t>
  </si>
  <si>
    <t>KT</t>
  </si>
  <si>
    <t>Nguyên Sang</t>
  </si>
  <si>
    <t>Nguyễn Hùng</t>
  </si>
  <si>
    <t>Nguyễn Tài</t>
  </si>
  <si>
    <t>Hoàng Hoa</t>
  </si>
  <si>
    <t>Phan Châu</t>
  </si>
  <si>
    <t>Võ Văn</t>
  </si>
  <si>
    <t>Lê Nam</t>
  </si>
  <si>
    <t>Đoàn Thị Ba</t>
  </si>
  <si>
    <t>Võ Thị Sương</t>
  </si>
  <si>
    <t>Trần Hưng</t>
  </si>
  <si>
    <t>Trần Văn</t>
  </si>
  <si>
    <t>Huỳnh Thanh</t>
  </si>
  <si>
    <t>PGĐ</t>
  </si>
  <si>
    <t>TP</t>
  </si>
  <si>
    <t>PP</t>
  </si>
  <si>
    <t>NV</t>
  </si>
  <si>
    <t>TK</t>
  </si>
  <si>
    <t>BV</t>
  </si>
  <si>
    <t>Phụ Cấp Chức Vụ
Chức Vụ</t>
  </si>
  <si>
    <t>Chức Vụ</t>
  </si>
  <si>
    <t>Phụ Cấp Công Việc</t>
  </si>
  <si>
    <t>Tổng Hợp Lương Còn Lại</t>
  </si>
  <si>
    <t>Bảng chi phí cho thuê phòng trong khách sạn</t>
  </si>
  <si>
    <t>Đặc Điểm
Thuê</t>
  </si>
  <si>
    <t>Loại Phòng</t>
  </si>
  <si>
    <t>Ngày Đến</t>
  </si>
  <si>
    <t>Ngày Đi</t>
  </si>
  <si>
    <t>Tuần</t>
  </si>
  <si>
    <t>ĐGT</t>
  </si>
  <si>
    <t>Ngày</t>
  </si>
  <si>
    <t>ĐGN</t>
  </si>
  <si>
    <t>Tiền Trả</t>
  </si>
  <si>
    <t>Ngọc</t>
  </si>
  <si>
    <t>Vũ</t>
  </si>
  <si>
    <t>Phong</t>
  </si>
  <si>
    <t>Trân</t>
  </si>
  <si>
    <t>Long</t>
  </si>
  <si>
    <t>Trinh</t>
  </si>
  <si>
    <t>Hoàng</t>
  </si>
  <si>
    <t>Hải</t>
  </si>
  <si>
    <t>NT</t>
  </si>
  <si>
    <t>NL</t>
  </si>
  <si>
    <t>L3B</t>
  </si>
  <si>
    <t>L2A</t>
  </si>
  <si>
    <t>L1C</t>
  </si>
  <si>
    <t>L1B</t>
  </si>
  <si>
    <t>TRA</t>
  </si>
  <si>
    <t>L1A</t>
  </si>
  <si>
    <t>L2B</t>
  </si>
  <si>
    <t>L3A</t>
  </si>
  <si>
    <t>TRC</t>
  </si>
  <si>
    <t>Lầu</t>
  </si>
  <si>
    <t>L1</t>
  </si>
  <si>
    <t>L2</t>
  </si>
  <si>
    <t>L3</t>
  </si>
  <si>
    <t>Tổng doanh thu</t>
  </si>
  <si>
    <t>TR</t>
  </si>
  <si>
    <t xml:space="preserve">Bảng theo dõi bán vé máy bay hãng VIETNAN AIRLINE </t>
  </si>
  <si>
    <t>Mã Chuyến</t>
  </si>
  <si>
    <t>DNV2NN</t>
  </si>
  <si>
    <t>HNV1TN</t>
  </si>
  <si>
    <t>HNT2NN</t>
  </si>
  <si>
    <t>PQV1TN</t>
  </si>
  <si>
    <t>SGT1TN</t>
  </si>
  <si>
    <t>PQV2NN</t>
  </si>
  <si>
    <t>SGV2NN</t>
  </si>
  <si>
    <t>Tuyến Bay</t>
  </si>
  <si>
    <t>Giá Vé</t>
  </si>
  <si>
    <t>Hành Lý
(Kg)</t>
  </si>
  <si>
    <t>Phụ Thu</t>
  </si>
  <si>
    <t>Thanh Toán</t>
  </si>
  <si>
    <t>Giá Vé HK
Nước Ngoài</t>
  </si>
  <si>
    <t>Giá Vé HK
Trong Nước</t>
  </si>
  <si>
    <t>Hà Nội</t>
  </si>
  <si>
    <t>HN</t>
  </si>
  <si>
    <t>Đà Nẵng</t>
  </si>
  <si>
    <t>DN</t>
  </si>
  <si>
    <t>PQ</t>
  </si>
  <si>
    <t>SG</t>
  </si>
  <si>
    <t>Phú Quốc</t>
  </si>
  <si>
    <t>Sài Gòn</t>
  </si>
  <si>
    <t>Bảng chi tiết điện đàm đại lý bưu điện số 1</t>
  </si>
  <si>
    <t>Số ĐT
Nghe</t>
  </si>
  <si>
    <t>Tỉnh</t>
  </si>
  <si>
    <t>Giá</t>
  </si>
  <si>
    <t>Giờ Gọi</t>
  </si>
  <si>
    <t>Thời Gian</t>
  </si>
  <si>
    <t>Phải Trả</t>
  </si>
  <si>
    <t>01'15</t>
  </si>
  <si>
    <t>11'00</t>
  </si>
  <si>
    <t>03'45</t>
  </si>
  <si>
    <t>02'15</t>
  </si>
  <si>
    <t>04'50</t>
  </si>
  <si>
    <t>03'11</t>
  </si>
  <si>
    <t>05'00</t>
  </si>
  <si>
    <t>Bình Thuận</t>
  </si>
  <si>
    <t>Tiền Giang</t>
  </si>
  <si>
    <t>Đồng Nai</t>
  </si>
  <si>
    <t>Bến Tre</t>
  </si>
  <si>
    <t>GMS</t>
  </si>
  <si>
    <t>Mã
 Sản Phẩm</t>
  </si>
  <si>
    <t>Tên 
Công Nhân</t>
  </si>
  <si>
    <t>Loại 
Sản Phẩm</t>
  </si>
  <si>
    <t>Tiền 
Gia Công</t>
  </si>
  <si>
    <t>Thanh</t>
  </si>
  <si>
    <t>Nga</t>
  </si>
  <si>
    <t>Mai</t>
  </si>
  <si>
    <t>Hiền</t>
  </si>
  <si>
    <t>SP1</t>
  </si>
  <si>
    <t>SP2</t>
  </si>
  <si>
    <t>SP3</t>
  </si>
  <si>
    <t>A</t>
  </si>
  <si>
    <t>C</t>
  </si>
  <si>
    <t>SP4</t>
  </si>
  <si>
    <t>SP5</t>
  </si>
  <si>
    <t>Công ty TM Sài Gòn</t>
  </si>
  <si>
    <t>Chi nhánh Bình Dương</t>
  </si>
  <si>
    <t>CỘNG HÒA XÃ HỘI CHỦ NGHĨA ViỆT NAM</t>
  </si>
  <si>
    <t>Độc Lập - Tự Do - Hạnh Phúc</t>
  </si>
  <si>
    <t>Mã SP</t>
  </si>
  <si>
    <t>Tên Loại</t>
  </si>
  <si>
    <t>Nơi SX</t>
  </si>
  <si>
    <t>Tháng Năm</t>
  </si>
  <si>
    <t>Giảm</t>
  </si>
  <si>
    <t>M1007AN</t>
  </si>
  <si>
    <t>F0208BN</t>
  </si>
  <si>
    <t>G0107AX</t>
  </si>
  <si>
    <t>V0508AN</t>
  </si>
  <si>
    <t>M0808AX</t>
  </si>
  <si>
    <t>M1107BX</t>
  </si>
  <si>
    <t>Mã 
Quốc Gia</t>
  </si>
  <si>
    <t>F</t>
  </si>
  <si>
    <t>ĐG Nhập</t>
  </si>
  <si>
    <t>ĐG Xuất</t>
  </si>
  <si>
    <t>American</t>
  </si>
  <si>
    <t>France</t>
  </si>
  <si>
    <t>German</t>
  </si>
  <si>
    <t>Bảng thống kê</t>
  </si>
  <si>
    <t>Năm</t>
  </si>
  <si>
    <t>07N</t>
  </si>
  <si>
    <t>08X</t>
  </si>
  <si>
    <t>08N</t>
  </si>
  <si>
    <t>Bảng kê tiền lãi gửi tại ngân hàng sacombank</t>
  </si>
  <si>
    <t>Mã 
Hợp Đồng</t>
  </si>
  <si>
    <t>Loại tiền</t>
  </si>
  <si>
    <t>VNĐ</t>
  </si>
  <si>
    <t>USD</t>
  </si>
  <si>
    <t>Kỳ Hạn
(Năm)</t>
  </si>
  <si>
    <t>Tiền Lãi
(Tháng)</t>
  </si>
  <si>
    <t>Ngày
Gởi Tiền</t>
  </si>
  <si>
    <t>Tổng
Tiền Lãi</t>
  </si>
  <si>
    <t>USDTT2</t>
  </si>
  <si>
    <t>VNDTS3</t>
  </si>
  <si>
    <t>VNDTS1</t>
  </si>
  <si>
    <t>USDTS3</t>
  </si>
  <si>
    <t>VNDTT3</t>
  </si>
  <si>
    <t>USDTS2</t>
  </si>
  <si>
    <t>VNDTT2</t>
  </si>
  <si>
    <t>VNDTT1</t>
  </si>
  <si>
    <t>USDTT3</t>
  </si>
  <si>
    <t>USDTS1</t>
  </si>
  <si>
    <t>Kỳ hạn
(Năm)</t>
  </si>
  <si>
    <t>Lãi Suất VND (tháng)</t>
  </si>
  <si>
    <t>Lãi Suất USD (tháng)</t>
  </si>
  <si>
    <t>TT (trả trước)</t>
  </si>
  <si>
    <t>TS (Trả sau)</t>
  </si>
  <si>
    <t>TT (Trả trước)</t>
  </si>
  <si>
    <t>Bảng thanh toán tiền</t>
  </si>
  <si>
    <t>Tỷ Giá</t>
  </si>
  <si>
    <t>AB150106C</t>
  </si>
  <si>
    <t>AB020508A</t>
  </si>
  <si>
    <t>DA120507A</t>
  </si>
  <si>
    <t>DB030708C</t>
  </si>
  <si>
    <t>AB191007E</t>
  </si>
  <si>
    <t>Loại Hàng</t>
  </si>
  <si>
    <t>AB</t>
  </si>
  <si>
    <t>DA</t>
  </si>
  <si>
    <t>Tỷ Lệ
Thuế</t>
  </si>
  <si>
    <t>Máy in LQ</t>
  </si>
  <si>
    <t>Máy Vẽ A0</t>
  </si>
  <si>
    <t>DB</t>
  </si>
  <si>
    <t>Máy Tính P4</t>
  </si>
  <si>
    <t>ĐGX</t>
  </si>
  <si>
    <t>Tổng Tiền</t>
  </si>
  <si>
    <t>SL</t>
  </si>
  <si>
    <t>DK</t>
  </si>
  <si>
    <t>*2*</t>
  </si>
  <si>
    <t>*1*</t>
  </si>
  <si>
    <t>HNT1TN</t>
  </si>
  <si>
    <t>3 Ký Tự đầu</t>
  </si>
  <si>
    <t>02'10</t>
  </si>
  <si>
    <t>dk</t>
  </si>
  <si>
    <t>07X</t>
  </si>
  <si>
    <t>Ti gia</t>
  </si>
  <si>
    <t>Tổng lãi tháng VND</t>
  </si>
  <si>
    <t>Tổng tiền gửi usd &gt;2 năm</t>
  </si>
  <si>
    <t>Dolar Mỹ</t>
  </si>
  <si>
    <t>&gt;=2</t>
  </si>
  <si>
    <t>Ngày
Trả Tiền</t>
  </si>
  <si>
    <t>Thanh Total</t>
  </si>
  <si>
    <t>Nga Total</t>
  </si>
  <si>
    <t>Mai Total</t>
  </si>
  <si>
    <t>Hiền Total</t>
  </si>
  <si>
    <t>Grand Total</t>
  </si>
  <si>
    <t>Bùi Hoàn Nhân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</si>
</sst>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d/mm/yy;@"/>
    <numFmt numFmtId="167" formatCode="0.0"/>
    <numFmt numFmtId="168" formatCode="&quot;$&quot;#,##0"/>
    <numFmt numFmtId="169" formatCode="000000000"/>
    <numFmt numFmtId="170" formatCode="000"/>
  </numFmts>
  <fonts count="4">
    <font>
      <sz val="12"/>
      <color theme="1"/>
      <name val="Times New Roman"/>
      <family val="2"/>
    </font>
    <font>
      <sz val="12"/>
      <color indexed="8"/>
      <name val="Times New Roman"/>
      <family val="2"/>
    </font>
    <font>
      <b/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/>
    <xf numFmtId="0" fontId="0" fillId="0" borderId="0" xfId="1" applyNumberFormat="1" applyFont="1"/>
    <xf numFmtId="165" fontId="0" fillId="0" borderId="0" xfId="1" applyNumberFormat="1" applyFon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0" fontId="0" fillId="0" borderId="0" xfId="0" quotePrefix="1"/>
    <xf numFmtId="0" fontId="0" fillId="0" borderId="0" xfId="0" quotePrefix="1" applyAlignment="1">
      <alignment horizontal="center"/>
    </xf>
    <xf numFmtId="1" fontId="0" fillId="0" borderId="0" xfId="0" applyNumberFormat="1"/>
    <xf numFmtId="3" fontId="0" fillId="0" borderId="0" xfId="1" applyNumberFormat="1" applyFont="1"/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 vertical="center"/>
    </xf>
    <xf numFmtId="20" fontId="0" fillId="0" borderId="0" xfId="0" applyNumberFormat="1"/>
    <xf numFmtId="17" fontId="0" fillId="0" borderId="0" xfId="0" applyNumberFormat="1"/>
    <xf numFmtId="1" fontId="0" fillId="0" borderId="0" xfId="0" applyNumberFormat="1" applyAlignment="1">
      <alignment horizontal="center"/>
    </xf>
    <xf numFmtId="3" fontId="0" fillId="0" borderId="0" xfId="0" applyNumberFormat="1"/>
    <xf numFmtId="168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169" fontId="0" fillId="0" borderId="0" xfId="0" applyNumberFormat="1"/>
    <xf numFmtId="170" fontId="0" fillId="0" borderId="0" xfId="0" applyNumberFormat="1"/>
    <xf numFmtId="0" fontId="0" fillId="0" borderId="2" xfId="0" applyBorder="1" applyAlignment="1">
      <alignment horizontal="center" vertical="center" textRotation="180"/>
    </xf>
    <xf numFmtId="0" fontId="0" fillId="0" borderId="3" xfId="0" applyBorder="1" applyAlignment="1">
      <alignment horizontal="center" vertical="center" textRotation="180" wrapText="1"/>
    </xf>
    <xf numFmtId="0" fontId="0" fillId="0" borderId="5" xfId="0" applyBorder="1"/>
    <xf numFmtId="0" fontId="0" fillId="0" borderId="6" xfId="0" applyBorder="1"/>
    <xf numFmtId="14" fontId="0" fillId="0" borderId="6" xfId="0" applyNumberFormat="1" applyBorder="1"/>
    <xf numFmtId="0" fontId="0" fillId="0" borderId="7" xfId="0" applyBorder="1"/>
    <xf numFmtId="0" fontId="2" fillId="0" borderId="5" xfId="0" applyNumberFormat="1" applyFont="1" applyBorder="1"/>
    <xf numFmtId="0" fontId="0" fillId="0" borderId="8" xfId="0" applyBorder="1"/>
    <xf numFmtId="0" fontId="0" fillId="0" borderId="9" xfId="0" applyBorder="1"/>
    <xf numFmtId="14" fontId="0" fillId="0" borderId="8" xfId="0" applyNumberFormat="1" applyBorder="1"/>
    <xf numFmtId="0" fontId="0" fillId="0" borderId="0" xfId="0" applyAlignment="1">
      <alignment horizontal="left"/>
    </xf>
    <xf numFmtId="0" fontId="0" fillId="0" borderId="3" xfId="0" applyBorder="1" applyAlignment="1">
      <alignment horizontal="center" vertical="center" textRotation="180"/>
    </xf>
    <xf numFmtId="0" fontId="0" fillId="0" borderId="4" xfId="0" applyBorder="1" applyAlignment="1">
      <alignment horizontal="center" vertical="center" textRotation="180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4352736400052728"/>
          <c:y val="4.347846598763015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view3D>
      <c:hPercent val="55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947693234798011"/>
          <c:y val="0.25603985526048867"/>
          <c:w val="0.63361052000075324"/>
          <c:h val="0.49275594785980853"/>
        </c:manualLayout>
      </c:layout>
      <c:bar3DChart>
        <c:barDir val="col"/>
        <c:grouping val="clustered"/>
        <c:ser>
          <c:idx val="0"/>
          <c:order val="0"/>
          <c:tx>
            <c:strRef>
              <c:f>'Bài 20'!$H$16</c:f>
              <c:strCache>
                <c:ptCount val="1"/>
                <c:pt idx="0">
                  <c:v>Tiền Trả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'Bài 20'!$G$17:$G$20</c:f>
              <c:strCache>
                <c:ptCount val="4"/>
                <c:pt idx="0">
                  <c:v>07N</c:v>
                </c:pt>
                <c:pt idx="1">
                  <c:v>07X</c:v>
                </c:pt>
                <c:pt idx="2">
                  <c:v>08N</c:v>
                </c:pt>
                <c:pt idx="3">
                  <c:v>08X</c:v>
                </c:pt>
              </c:strCache>
            </c:strRef>
          </c:cat>
          <c:val>
            <c:numRef>
              <c:f>'Bài 20'!$H$17:$H$20</c:f>
              <c:numCache>
                <c:formatCode>General</c:formatCode>
                <c:ptCount val="4"/>
                <c:pt idx="0">
                  <c:v>270000</c:v>
                </c:pt>
                <c:pt idx="1">
                  <c:v>630000</c:v>
                </c:pt>
                <c:pt idx="2">
                  <c:v>391500</c:v>
                </c:pt>
                <c:pt idx="3">
                  <c:v>240000</c:v>
                </c:pt>
              </c:numCache>
            </c:numRef>
          </c:val>
        </c:ser>
        <c:shape val="box"/>
        <c:axId val="76966528"/>
        <c:axId val="76997760"/>
        <c:axId val="0"/>
      </c:bar3DChart>
      <c:catAx>
        <c:axId val="76966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SẢN PHẨM</a:t>
                </a:r>
              </a:p>
            </c:rich>
          </c:tx>
          <c:layout>
            <c:manualLayout>
              <c:xMode val="edge"/>
              <c:yMode val="edge"/>
              <c:x val="0.34710837182649984"/>
              <c:y val="0.8599074384220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97760"/>
        <c:crosses val="autoZero"/>
        <c:auto val="1"/>
        <c:lblAlgn val="ctr"/>
        <c:lblOffset val="100"/>
        <c:tickLblSkip val="1"/>
        <c:tickMarkSkip val="1"/>
      </c:catAx>
      <c:valAx>
        <c:axId val="76997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665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093884765315028"/>
          <c:y val="0.52657253251685399"/>
          <c:w val="0.15702521582627377"/>
          <c:h val="9.661881330584477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3967367969085486"/>
          <c:y val="3.610114666972212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6380420781451291"/>
          <c:y val="0.22382710935227704"/>
          <c:w val="0.38445884549711945"/>
          <c:h val="0.67870155739077653"/>
        </c:manualLayout>
      </c:layout>
      <c:pieChart>
        <c:varyColors val="1"/>
        <c:ser>
          <c:idx val="0"/>
          <c:order val="0"/>
          <c:tx>
            <c:strRef>
              <c:f>'Bài 22'!$K$13</c:f>
              <c:strCache>
                <c:ptCount val="1"/>
                <c:pt idx="0">
                  <c:v>Tổng Tiền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'Bài 22'!$J$14:$J$16</c:f>
              <c:strCache>
                <c:ptCount val="3"/>
                <c:pt idx="0">
                  <c:v>AB</c:v>
                </c:pt>
                <c:pt idx="1">
                  <c:v>DA</c:v>
                </c:pt>
                <c:pt idx="2">
                  <c:v>DB</c:v>
                </c:pt>
              </c:strCache>
            </c:strRef>
          </c:cat>
          <c:val>
            <c:numRef>
              <c:f>'Bài 22'!$K$14:$K$16</c:f>
              <c:numCache>
                <c:formatCode>General</c:formatCode>
                <c:ptCount val="3"/>
                <c:pt idx="0">
                  <c:v>5832000000</c:v>
                </c:pt>
                <c:pt idx="1">
                  <c:v>2112000000</c:v>
                </c:pt>
                <c:pt idx="2">
                  <c:v>1596000000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593227954906286"/>
          <c:y val="0.44765421870455407"/>
          <c:w val="7.7709766643034778E-2"/>
          <c:h val="0.231047338686221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19</xdr:row>
      <xdr:rowOff>57150</xdr:rowOff>
    </xdr:from>
    <xdr:to>
      <xdr:col>4</xdr:col>
      <xdr:colOff>466725</xdr:colOff>
      <xdr:row>29</xdr:row>
      <xdr:rowOff>28575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1</xdr:row>
      <xdr:rowOff>123825</xdr:rowOff>
    </xdr:from>
    <xdr:to>
      <xdr:col>18</xdr:col>
      <xdr:colOff>552450</xdr:colOff>
      <xdr:row>13</xdr:row>
      <xdr:rowOff>161925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sqref="A1:XFD1048576"/>
    </sheetView>
  </sheetViews>
  <sheetFormatPr defaultRowHeight="15.75"/>
  <cols>
    <col min="2" max="2" width="13.375" bestFit="1" customWidth="1"/>
    <col min="3" max="3" width="9.625" bestFit="1" customWidth="1"/>
    <col min="4" max="5" width="10.5" bestFit="1" customWidth="1"/>
    <col min="6" max="6" width="7.875" bestFit="1" customWidth="1"/>
    <col min="7" max="7" width="8.875" bestFit="1" customWidth="1"/>
  </cols>
  <sheetData>
    <row r="1" spans="1:8">
      <c r="A1" t="s">
        <v>415</v>
      </c>
    </row>
    <row r="2" spans="1:8">
      <c r="A2" s="45" t="s">
        <v>0</v>
      </c>
      <c r="B2" s="45"/>
      <c r="C2" s="45"/>
      <c r="D2" s="45"/>
      <c r="E2" s="45"/>
      <c r="F2" s="45"/>
      <c r="G2" s="45"/>
      <c r="H2" s="45"/>
    </row>
    <row r="3" spans="1:8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8">
      <c r="A4">
        <v>1</v>
      </c>
      <c r="B4" t="s">
        <v>8</v>
      </c>
      <c r="C4">
        <v>24</v>
      </c>
      <c r="D4">
        <v>150000</v>
      </c>
      <c r="E4">
        <f>C4*D4</f>
        <v>3600000</v>
      </c>
      <c r="F4">
        <v>500000</v>
      </c>
      <c r="G4">
        <f>E4-F4</f>
        <v>3100000</v>
      </c>
    </row>
    <row r="5" spans="1:8">
      <c r="A5">
        <v>2</v>
      </c>
      <c r="B5" t="s">
        <v>9</v>
      </c>
      <c r="C5">
        <v>25</v>
      </c>
      <c r="D5">
        <v>120000</v>
      </c>
      <c r="E5">
        <f t="shared" ref="E5:E10" si="0">C5*D5</f>
        <v>3000000</v>
      </c>
      <c r="F5">
        <v>0</v>
      </c>
      <c r="G5">
        <f t="shared" ref="G5:G10" si="1">E5-F5</f>
        <v>3000000</v>
      </c>
    </row>
    <row r="6" spans="1:8">
      <c r="A6">
        <v>3</v>
      </c>
      <c r="B6" t="s">
        <v>10</v>
      </c>
      <c r="C6">
        <v>22</v>
      </c>
      <c r="D6">
        <v>100000</v>
      </c>
      <c r="E6">
        <f t="shared" si="0"/>
        <v>2200000</v>
      </c>
      <c r="F6">
        <v>500000</v>
      </c>
      <c r="G6">
        <f t="shared" si="1"/>
        <v>1700000</v>
      </c>
    </row>
    <row r="7" spans="1:8">
      <c r="A7">
        <v>4</v>
      </c>
      <c r="B7" t="s">
        <v>11</v>
      </c>
      <c r="C7">
        <v>21</v>
      </c>
      <c r="D7">
        <v>120000</v>
      </c>
      <c r="E7">
        <f t="shared" si="0"/>
        <v>2520000</v>
      </c>
      <c r="F7">
        <v>0</v>
      </c>
      <c r="G7">
        <f t="shared" si="1"/>
        <v>2520000</v>
      </c>
    </row>
    <row r="8" spans="1:8">
      <c r="A8">
        <v>5</v>
      </c>
      <c r="B8" t="s">
        <v>12</v>
      </c>
      <c r="C8">
        <v>26</v>
      </c>
      <c r="D8">
        <v>100000</v>
      </c>
      <c r="E8">
        <f t="shared" si="0"/>
        <v>2600000</v>
      </c>
      <c r="F8">
        <v>0</v>
      </c>
      <c r="G8">
        <f t="shared" si="1"/>
        <v>2600000</v>
      </c>
    </row>
    <row r="9" spans="1:8">
      <c r="A9">
        <v>6</v>
      </c>
      <c r="B9" t="s">
        <v>13</v>
      </c>
      <c r="C9">
        <v>24</v>
      </c>
      <c r="D9">
        <v>120000</v>
      </c>
      <c r="E9">
        <f t="shared" si="0"/>
        <v>2880000</v>
      </c>
      <c r="F9">
        <v>0</v>
      </c>
      <c r="G9">
        <f t="shared" si="1"/>
        <v>2880000</v>
      </c>
    </row>
    <row r="10" spans="1:8">
      <c r="A10">
        <v>7</v>
      </c>
      <c r="B10" t="s">
        <v>14</v>
      </c>
      <c r="C10">
        <v>25</v>
      </c>
      <c r="D10">
        <v>120000</v>
      </c>
      <c r="E10">
        <f t="shared" si="0"/>
        <v>3000000</v>
      </c>
      <c r="F10">
        <v>500000</v>
      </c>
      <c r="G10">
        <f t="shared" si="1"/>
        <v>2500000</v>
      </c>
    </row>
    <row r="11" spans="1:8">
      <c r="A11" s="45" t="s">
        <v>15</v>
      </c>
      <c r="B11" s="45"/>
      <c r="C11">
        <f>SUM(C4:C10)</f>
        <v>167</v>
      </c>
      <c r="D11">
        <f>SUM(D4:D10)</f>
        <v>830000</v>
      </c>
      <c r="E11">
        <f>SUM(E4:E10)</f>
        <v>19800000</v>
      </c>
      <c r="F11">
        <f>SUM(F4:F10)</f>
        <v>1500000</v>
      </c>
      <c r="G11">
        <f>SUM(G4:G10)</f>
        <v>18300000</v>
      </c>
    </row>
  </sheetData>
  <sheetProtection password="CADB" sheet="1" objects="1" scenarios="1"/>
  <mergeCells count="2">
    <mergeCell ref="A2:H2"/>
    <mergeCell ref="A11:B11"/>
  </mergeCells>
  <phoneticPr fontId="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sqref="A1:XFD1048576"/>
    </sheetView>
  </sheetViews>
  <sheetFormatPr defaultRowHeight="15.75"/>
  <cols>
    <col min="5" max="5" width="9.875" bestFit="1" customWidth="1"/>
    <col min="8" max="8" width="10.5" customWidth="1"/>
    <col min="10" max="10" width="9.875" bestFit="1" customWidth="1"/>
  </cols>
  <sheetData>
    <row r="1" spans="1:10">
      <c r="A1" t="s">
        <v>415</v>
      </c>
    </row>
    <row r="2" spans="1:10">
      <c r="A2" s="45" t="s">
        <v>120</v>
      </c>
      <c r="B2" s="45"/>
      <c r="C2" s="45"/>
      <c r="D2" s="45"/>
      <c r="E2" s="45"/>
      <c r="F2" s="45"/>
      <c r="G2" s="45"/>
      <c r="H2" s="45"/>
      <c r="I2" s="45"/>
      <c r="J2" s="45"/>
    </row>
    <row r="3" spans="1:10">
      <c r="A3" t="s">
        <v>1</v>
      </c>
      <c r="B3" t="s">
        <v>121</v>
      </c>
      <c r="C3" t="s">
        <v>122</v>
      </c>
      <c r="D3" t="s">
        <v>123</v>
      </c>
      <c r="E3" t="s">
        <v>124</v>
      </c>
      <c r="F3" t="s">
        <v>125</v>
      </c>
      <c r="G3" t="s">
        <v>87</v>
      </c>
      <c r="H3" t="s">
        <v>126</v>
      </c>
      <c r="I3" t="s">
        <v>127</v>
      </c>
      <c r="J3" t="s">
        <v>128</v>
      </c>
    </row>
    <row r="4" spans="1:10">
      <c r="A4">
        <v>1</v>
      </c>
      <c r="B4" t="s">
        <v>129</v>
      </c>
      <c r="C4" t="s">
        <v>137</v>
      </c>
      <c r="D4" t="s">
        <v>145</v>
      </c>
      <c r="E4" s="2">
        <v>39209</v>
      </c>
      <c r="F4">
        <v>100</v>
      </c>
      <c r="G4">
        <v>180000</v>
      </c>
      <c r="H4" s="15">
        <f>(F4*G4)*IF(D4="NB",90%,IF(D4="TT",90%,100%))</f>
        <v>16200000</v>
      </c>
      <c r="I4">
        <f>IF(AND(LEFT(C4,1)="B",D4="NB"),3%*H4,IF(AND(LEFT(C4,1)="B",D4="TT"),2%*H4,1%*H4))</f>
        <v>486000</v>
      </c>
      <c r="J4" s="16">
        <f t="shared" ref="J4:J11" si="0">H4+I4</f>
        <v>16686000</v>
      </c>
    </row>
    <row r="5" spans="1:10">
      <c r="A5">
        <v>2</v>
      </c>
      <c r="B5" t="s">
        <v>130</v>
      </c>
      <c r="C5" t="s">
        <v>138</v>
      </c>
      <c r="D5" t="s">
        <v>146</v>
      </c>
      <c r="E5" s="2">
        <v>39121</v>
      </c>
      <c r="F5">
        <v>150</v>
      </c>
      <c r="G5">
        <v>240000</v>
      </c>
      <c r="H5" s="15">
        <f t="shared" ref="H5:H11" si="1">(F5*G5)*IF(D5="NB",90%,IF(D5="TT",90%,100%))</f>
        <v>36000000</v>
      </c>
      <c r="I5">
        <f t="shared" ref="I5:I11" si="2">IF(AND(LEFT(C5,1)="B",D5="NB"),3%*H5,IF(AND(LEFT(C5,1)="B",D5="TT"),2%*H5,1%*H5))</f>
        <v>360000</v>
      </c>
      <c r="J5" s="16">
        <f t="shared" si="0"/>
        <v>36360000</v>
      </c>
    </row>
    <row r="6" spans="1:10">
      <c r="A6">
        <v>3</v>
      </c>
      <c r="B6" t="s">
        <v>131</v>
      </c>
      <c r="C6" t="s">
        <v>139</v>
      </c>
      <c r="D6" t="s">
        <v>146</v>
      </c>
      <c r="E6" s="2">
        <v>39089</v>
      </c>
      <c r="F6">
        <v>120</v>
      </c>
      <c r="G6">
        <v>150000</v>
      </c>
      <c r="H6" s="15">
        <f t="shared" si="1"/>
        <v>18000000</v>
      </c>
      <c r="I6">
        <f t="shared" si="2"/>
        <v>180000</v>
      </c>
      <c r="J6" s="16">
        <f t="shared" si="0"/>
        <v>18180000</v>
      </c>
    </row>
    <row r="7" spans="1:10">
      <c r="A7">
        <v>4</v>
      </c>
      <c r="B7" t="s">
        <v>132</v>
      </c>
      <c r="C7" t="s">
        <v>140</v>
      </c>
      <c r="D7" t="s">
        <v>147</v>
      </c>
      <c r="E7" s="2">
        <v>39211</v>
      </c>
      <c r="F7">
        <v>165</v>
      </c>
      <c r="G7">
        <v>180000</v>
      </c>
      <c r="H7" s="15">
        <f t="shared" si="1"/>
        <v>26730000</v>
      </c>
      <c r="I7">
        <f t="shared" si="2"/>
        <v>267300</v>
      </c>
      <c r="J7" s="16">
        <f t="shared" si="0"/>
        <v>26997300</v>
      </c>
    </row>
    <row r="8" spans="1:10">
      <c r="A8">
        <v>5</v>
      </c>
      <c r="B8" t="s">
        <v>133</v>
      </c>
      <c r="C8" t="s">
        <v>141</v>
      </c>
      <c r="D8" t="s">
        <v>145</v>
      </c>
      <c r="E8" s="2">
        <v>39145</v>
      </c>
      <c r="F8">
        <v>200</v>
      </c>
      <c r="G8">
        <v>190000</v>
      </c>
      <c r="H8" s="15">
        <f t="shared" si="1"/>
        <v>34200000</v>
      </c>
      <c r="I8">
        <f t="shared" si="2"/>
        <v>342000</v>
      </c>
      <c r="J8" s="16">
        <f t="shared" si="0"/>
        <v>34542000</v>
      </c>
    </row>
    <row r="9" spans="1:10">
      <c r="A9">
        <v>6</v>
      </c>
      <c r="B9" t="s">
        <v>134</v>
      </c>
      <c r="C9" t="s">
        <v>142</v>
      </c>
      <c r="D9" t="s">
        <v>146</v>
      </c>
      <c r="E9" s="2">
        <v>39089</v>
      </c>
      <c r="F9">
        <v>100</v>
      </c>
      <c r="G9">
        <v>230000</v>
      </c>
      <c r="H9" s="15">
        <f t="shared" si="1"/>
        <v>23000000</v>
      </c>
      <c r="I9">
        <f t="shared" si="2"/>
        <v>230000</v>
      </c>
      <c r="J9" s="16">
        <f t="shared" si="0"/>
        <v>23230000</v>
      </c>
    </row>
    <row r="10" spans="1:10">
      <c r="A10">
        <v>7</v>
      </c>
      <c r="B10" t="s">
        <v>135</v>
      </c>
      <c r="C10" t="s">
        <v>143</v>
      </c>
      <c r="D10" t="s">
        <v>147</v>
      </c>
      <c r="E10" s="2">
        <v>39122</v>
      </c>
      <c r="F10">
        <v>150</v>
      </c>
      <c r="G10">
        <v>240000</v>
      </c>
      <c r="H10" s="15">
        <f t="shared" si="1"/>
        <v>32400000</v>
      </c>
      <c r="I10">
        <f t="shared" si="2"/>
        <v>324000</v>
      </c>
      <c r="J10" s="16">
        <f t="shared" si="0"/>
        <v>32724000</v>
      </c>
    </row>
    <row r="11" spans="1:10">
      <c r="A11">
        <v>8</v>
      </c>
      <c r="B11" t="s">
        <v>136</v>
      </c>
      <c r="C11" t="s">
        <v>144</v>
      </c>
      <c r="D11" t="s">
        <v>146</v>
      </c>
      <c r="E11" s="2">
        <v>39117</v>
      </c>
      <c r="F11">
        <v>200</v>
      </c>
      <c r="G11">
        <v>220000</v>
      </c>
      <c r="H11" s="15">
        <f t="shared" si="1"/>
        <v>44000000</v>
      </c>
      <c r="I11">
        <f t="shared" si="2"/>
        <v>440000</v>
      </c>
      <c r="J11" s="16">
        <f t="shared" si="0"/>
        <v>44440000</v>
      </c>
    </row>
  </sheetData>
  <sheetProtection password="CADB" sheet="1" objects="1" scenarios="1"/>
  <mergeCells count="1">
    <mergeCell ref="A2:J2"/>
  </mergeCells>
  <phoneticPr fontId="0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sqref="A1:XFD1048576"/>
    </sheetView>
  </sheetViews>
  <sheetFormatPr defaultRowHeight="15.75"/>
  <cols>
    <col min="5" max="5" width="11.5" customWidth="1"/>
  </cols>
  <sheetData>
    <row r="1" spans="1:13">
      <c r="A1" t="s">
        <v>415</v>
      </c>
    </row>
    <row r="2" spans="1:13">
      <c r="A2" s="45" t="s">
        <v>148</v>
      </c>
      <c r="B2" s="45"/>
      <c r="C2" s="45"/>
      <c r="D2" s="45"/>
      <c r="E2" s="45"/>
      <c r="F2" s="45"/>
      <c r="G2" s="45"/>
      <c r="H2" s="45"/>
    </row>
    <row r="3" spans="1:13">
      <c r="A3" t="s">
        <v>1</v>
      </c>
      <c r="B3" t="s">
        <v>122</v>
      </c>
      <c r="C3" t="s">
        <v>154</v>
      </c>
      <c r="D3" t="s">
        <v>121</v>
      </c>
      <c r="E3" t="s">
        <v>87</v>
      </c>
      <c r="F3" t="s">
        <v>125</v>
      </c>
      <c r="G3" t="s">
        <v>66</v>
      </c>
      <c r="H3" t="s">
        <v>155</v>
      </c>
      <c r="J3" t="s">
        <v>157</v>
      </c>
      <c r="K3" t="s">
        <v>121</v>
      </c>
      <c r="L3" t="s">
        <v>87</v>
      </c>
      <c r="M3" t="s">
        <v>155</v>
      </c>
    </row>
    <row r="4" spans="1:13">
      <c r="A4">
        <v>1</v>
      </c>
      <c r="B4" t="s">
        <v>149</v>
      </c>
      <c r="C4">
        <v>1</v>
      </c>
      <c r="D4" t="str">
        <f>VLOOKUP(LEFT(B4,1),$J$4:$M$8,2,0)</f>
        <v>Gạo</v>
      </c>
      <c r="E4">
        <f>VLOOKUP(LEFT(B4,1),$J$4:$M$8,3,0)</f>
        <v>6500</v>
      </c>
      <c r="F4">
        <v>100</v>
      </c>
      <c r="G4">
        <f>F4*E4</f>
        <v>650000</v>
      </c>
      <c r="H4">
        <f>G4*VLOOKUP(LEFT(B4,1),$J$4:$M$8,4,0)</f>
        <v>32500</v>
      </c>
      <c r="J4" t="s">
        <v>158</v>
      </c>
      <c r="K4" t="s">
        <v>162</v>
      </c>
      <c r="L4">
        <v>6500</v>
      </c>
      <c r="M4" s="17">
        <v>0.05</v>
      </c>
    </row>
    <row r="5" spans="1:13">
      <c r="A5">
        <v>2</v>
      </c>
      <c r="B5" t="s">
        <v>150</v>
      </c>
      <c r="C5">
        <v>2</v>
      </c>
      <c r="D5" t="str">
        <f>VLOOKUP(LEFT(B5,1),$J$4:$M$8,2,0)</f>
        <v>Sữa</v>
      </c>
      <c r="E5">
        <f>VLOOKUP(LEFT(B5,1),$J$4:$M$8,3,0)</f>
        <v>9500</v>
      </c>
      <c r="F5">
        <v>30</v>
      </c>
      <c r="G5">
        <f>F5*E5</f>
        <v>285000</v>
      </c>
      <c r="H5">
        <f>G5*VLOOKUP(LEFT(B5,1),$J$4:$M$8,4,0)</f>
        <v>17100</v>
      </c>
      <c r="J5" t="s">
        <v>159</v>
      </c>
      <c r="K5" t="s">
        <v>163</v>
      </c>
      <c r="L5">
        <v>9500</v>
      </c>
      <c r="M5" s="17">
        <v>0.06</v>
      </c>
    </row>
    <row r="6" spans="1:13">
      <c r="A6">
        <v>3</v>
      </c>
      <c r="B6" t="s">
        <v>151</v>
      </c>
      <c r="C6">
        <v>1</v>
      </c>
      <c r="D6" t="str">
        <f>VLOOKUP(LEFT(B6,1),$J$4:$M$8,2,0)</f>
        <v>Muối</v>
      </c>
      <c r="E6">
        <f>VLOOKUP(LEFT(B6,1),$J$4:$M$8,3,0)</f>
        <v>4000</v>
      </c>
      <c r="F6">
        <v>50</v>
      </c>
      <c r="G6">
        <f>F6*E6</f>
        <v>200000</v>
      </c>
      <c r="H6">
        <f>G6*VLOOKUP(LEFT(B6,1),$J$4:$M$8,4,0)</f>
        <v>8000</v>
      </c>
      <c r="J6" t="s">
        <v>167</v>
      </c>
      <c r="K6" t="s">
        <v>164</v>
      </c>
      <c r="L6">
        <v>4000</v>
      </c>
      <c r="M6" s="17">
        <v>0.04</v>
      </c>
    </row>
    <row r="7" spans="1:13">
      <c r="A7">
        <v>4</v>
      </c>
      <c r="B7" t="s">
        <v>152</v>
      </c>
      <c r="C7">
        <v>3</v>
      </c>
      <c r="D7" t="str">
        <f>VLOOKUP(LEFT(B7,1),$J$4:$M$8,2,0)</f>
        <v>Bánh</v>
      </c>
      <c r="E7">
        <f>VLOOKUP(LEFT(B7,1),$J$4:$M$8,3,0)</f>
        <v>12000</v>
      </c>
      <c r="F7">
        <v>125</v>
      </c>
      <c r="G7">
        <f>F7*E7</f>
        <v>1500000</v>
      </c>
      <c r="H7">
        <f>G7*VLOOKUP(LEFT(B7,1),$J$4:$M$8,4,0)</f>
        <v>75000</v>
      </c>
      <c r="J7" t="s">
        <v>160</v>
      </c>
      <c r="K7" t="s">
        <v>165</v>
      </c>
      <c r="L7">
        <v>12000</v>
      </c>
      <c r="M7" s="17">
        <v>0.05</v>
      </c>
    </row>
    <row r="8" spans="1:13">
      <c r="A8">
        <v>5</v>
      </c>
      <c r="B8" t="s">
        <v>153</v>
      </c>
      <c r="C8">
        <v>1</v>
      </c>
      <c r="D8" t="str">
        <f>VLOOKUP(LEFT(B8,1),$J$4:$M$8,2,0)</f>
        <v>Đường</v>
      </c>
      <c r="E8">
        <f>VLOOKUP(LEFT(B8,1),$J$4:$M$8,3,0)</f>
        <v>13000</v>
      </c>
      <c r="F8">
        <v>150</v>
      </c>
      <c r="G8">
        <f>F8*E8</f>
        <v>1950000</v>
      </c>
      <c r="H8">
        <f>G8*VLOOKUP(LEFT(B8,1),$J$4:$M$8,4,0)</f>
        <v>87750</v>
      </c>
      <c r="J8" t="s">
        <v>161</v>
      </c>
      <c r="K8" t="s">
        <v>166</v>
      </c>
      <c r="L8">
        <v>13000</v>
      </c>
      <c r="M8" s="18">
        <v>4.4999999999999998E-2</v>
      </c>
    </row>
    <row r="9" spans="1:13">
      <c r="A9">
        <v>6</v>
      </c>
      <c r="B9" s="45" t="s">
        <v>156</v>
      </c>
      <c r="C9" s="45"/>
      <c r="D9" s="45"/>
      <c r="E9" s="45"/>
    </row>
  </sheetData>
  <sheetProtection password="CADB" sheet="1" objects="1" scenarios="1"/>
  <mergeCells count="2">
    <mergeCell ref="A2:H2"/>
    <mergeCell ref="B9:E9"/>
  </mergeCells>
  <phoneticPr fontId="0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sqref="A1:XFD1048576"/>
    </sheetView>
  </sheetViews>
  <sheetFormatPr defaultRowHeight="15.75"/>
  <sheetData>
    <row r="1" spans="1:8">
      <c r="A1" t="s">
        <v>415</v>
      </c>
    </row>
    <row r="2" spans="1:8">
      <c r="A2" s="45" t="s">
        <v>168</v>
      </c>
      <c r="B2" s="45"/>
      <c r="C2" s="45"/>
      <c r="D2" s="45"/>
      <c r="E2" s="45"/>
      <c r="F2" s="45"/>
      <c r="G2" s="45"/>
      <c r="H2" s="45"/>
    </row>
    <row r="3" spans="1:8">
      <c r="A3" t="s">
        <v>1</v>
      </c>
      <c r="B3" t="s">
        <v>78</v>
      </c>
      <c r="C3" t="s">
        <v>154</v>
      </c>
      <c r="D3" t="s">
        <v>121</v>
      </c>
      <c r="E3" t="s">
        <v>87</v>
      </c>
      <c r="F3" t="s">
        <v>125</v>
      </c>
      <c r="G3" t="s">
        <v>174</v>
      </c>
      <c r="H3" t="s">
        <v>175</v>
      </c>
    </row>
    <row r="4" spans="1:8">
      <c r="A4">
        <v>1</v>
      </c>
      <c r="B4" t="s">
        <v>169</v>
      </c>
      <c r="C4">
        <v>1</v>
      </c>
      <c r="D4" t="str">
        <f>HLOOKUP(LEFT(B4,1),$A$11:$F$14,2,0)</f>
        <v>Gạo</v>
      </c>
      <c r="E4">
        <f>HLOOKUP(LEFT(B4,1),$A$11:$F$14,3,0)</f>
        <v>6500</v>
      </c>
      <c r="F4">
        <v>100</v>
      </c>
      <c r="G4">
        <f>E4*F4</f>
        <v>650000</v>
      </c>
      <c r="H4">
        <f>HLOOKUP(LEFT(B4,1),$A$11:$F$14,4,0)*G4</f>
        <v>32500</v>
      </c>
    </row>
    <row r="5" spans="1:8">
      <c r="A5">
        <v>2</v>
      </c>
      <c r="B5" t="s">
        <v>170</v>
      </c>
      <c r="C5">
        <v>2</v>
      </c>
      <c r="D5" t="str">
        <f>HLOOKUP(LEFT(B5,1),$A$11:$F$14,2,0)</f>
        <v>Sữa</v>
      </c>
      <c r="E5">
        <f>HLOOKUP(LEFT(B5,1),$A$11:$F$14,3,0)</f>
        <v>9500</v>
      </c>
      <c r="F5">
        <v>30</v>
      </c>
      <c r="G5">
        <f>E5*F5</f>
        <v>285000</v>
      </c>
      <c r="H5">
        <f>HLOOKUP(LEFT(B5,1),$A$11:$F$14,4,0)*G5</f>
        <v>17100</v>
      </c>
    </row>
    <row r="6" spans="1:8">
      <c r="A6">
        <v>3</v>
      </c>
      <c r="B6" t="s">
        <v>171</v>
      </c>
      <c r="C6">
        <v>1</v>
      </c>
      <c r="D6" t="str">
        <f>HLOOKUP(LEFT(B6,1),$A$11:$F$14,2,0)</f>
        <v>Gạo</v>
      </c>
      <c r="E6">
        <f>HLOOKUP(LEFT(B6,1),$A$11:$F$14,3,0)</f>
        <v>6500</v>
      </c>
      <c r="F6">
        <v>50</v>
      </c>
      <c r="G6">
        <f>E6*F6</f>
        <v>325000</v>
      </c>
      <c r="H6">
        <f>HLOOKUP(LEFT(B6,1),$A$11:$F$14,4,0)*G6</f>
        <v>16250</v>
      </c>
    </row>
    <row r="7" spans="1:8">
      <c r="A7">
        <v>4</v>
      </c>
      <c r="B7" t="s">
        <v>172</v>
      </c>
      <c r="C7">
        <v>3</v>
      </c>
      <c r="D7" t="str">
        <f>HLOOKUP(LEFT(B7,1),$A$11:$F$14,2,0)</f>
        <v>Bánh</v>
      </c>
      <c r="E7">
        <f>HLOOKUP(LEFT(B7,1),$A$11:$F$14,3,0)</f>
        <v>12000</v>
      </c>
      <c r="F7">
        <v>125</v>
      </c>
      <c r="G7">
        <f>E7*F7</f>
        <v>1500000</v>
      </c>
      <c r="H7">
        <f>HLOOKUP(LEFT(B7,1),$A$11:$F$14,4,0)*G7</f>
        <v>75000</v>
      </c>
    </row>
    <row r="8" spans="1:8">
      <c r="A8">
        <v>5</v>
      </c>
      <c r="B8" t="s">
        <v>173</v>
      </c>
      <c r="C8">
        <v>1</v>
      </c>
      <c r="D8" t="str">
        <f>HLOOKUP(LEFT(B8,1),$A$11:$F$14,2,0)</f>
        <v>Bánh</v>
      </c>
      <c r="E8">
        <f>HLOOKUP(LEFT(B8,1),$A$11:$F$14,3,0)</f>
        <v>12000</v>
      </c>
      <c r="F8">
        <v>150</v>
      </c>
      <c r="G8">
        <f>E8*F8</f>
        <v>1800000</v>
      </c>
      <c r="H8">
        <f>HLOOKUP(LEFT(B8,1),$A$11:$F$14,4,0)*G8</f>
        <v>90000</v>
      </c>
    </row>
    <row r="11" spans="1:8">
      <c r="A11" t="s">
        <v>157</v>
      </c>
      <c r="B11" t="s">
        <v>159</v>
      </c>
      <c r="C11" t="s">
        <v>167</v>
      </c>
      <c r="D11" t="s">
        <v>160</v>
      </c>
      <c r="E11" t="s">
        <v>161</v>
      </c>
      <c r="F11" t="s">
        <v>158</v>
      </c>
    </row>
    <row r="12" spans="1:8">
      <c r="A12" t="s">
        <v>121</v>
      </c>
      <c r="B12" t="s">
        <v>163</v>
      </c>
      <c r="C12" t="s">
        <v>164</v>
      </c>
      <c r="D12" t="s">
        <v>165</v>
      </c>
      <c r="E12" t="s">
        <v>166</v>
      </c>
      <c r="F12" t="s">
        <v>162</v>
      </c>
    </row>
    <row r="13" spans="1:8">
      <c r="A13" t="s">
        <v>87</v>
      </c>
      <c r="B13">
        <v>9500</v>
      </c>
      <c r="C13">
        <v>4000</v>
      </c>
      <c r="D13">
        <v>12000</v>
      </c>
      <c r="E13">
        <v>13000</v>
      </c>
      <c r="F13">
        <v>6500</v>
      </c>
    </row>
    <row r="14" spans="1:8">
      <c r="A14" t="s">
        <v>155</v>
      </c>
      <c r="B14" s="17">
        <v>0.06</v>
      </c>
      <c r="C14" s="17">
        <v>0.04</v>
      </c>
      <c r="D14" s="17">
        <v>0.05</v>
      </c>
      <c r="E14" s="18">
        <v>4.4999999999999998E-2</v>
      </c>
      <c r="F14" s="17">
        <v>0.05</v>
      </c>
    </row>
  </sheetData>
  <sheetProtection password="CADB" sheet="1" objects="1" scenarios="1"/>
  <mergeCells count="1">
    <mergeCell ref="A2:H2"/>
  </mergeCells>
  <phoneticPr fontId="0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sqref="A1:XFD1048576"/>
    </sheetView>
  </sheetViews>
  <sheetFormatPr defaultRowHeight="15.75"/>
  <cols>
    <col min="5" max="5" width="10" bestFit="1" customWidth="1"/>
  </cols>
  <sheetData>
    <row r="1" spans="1:8">
      <c r="A1" t="s">
        <v>415</v>
      </c>
    </row>
    <row r="2" spans="1:8">
      <c r="A2" s="45" t="s">
        <v>168</v>
      </c>
      <c r="B2" s="45"/>
      <c r="C2" s="45"/>
      <c r="D2" s="45"/>
      <c r="E2" s="45"/>
      <c r="F2" s="45"/>
      <c r="G2" s="45"/>
      <c r="H2" s="45"/>
    </row>
    <row r="3" spans="1:8">
      <c r="A3" t="s">
        <v>1</v>
      </c>
      <c r="B3" t="s">
        <v>78</v>
      </c>
      <c r="C3" t="s">
        <v>154</v>
      </c>
      <c r="D3" t="s">
        <v>121</v>
      </c>
      <c r="E3" t="s">
        <v>87</v>
      </c>
      <c r="F3" t="s">
        <v>125</v>
      </c>
      <c r="G3" t="s">
        <v>128</v>
      </c>
      <c r="H3" t="s">
        <v>178</v>
      </c>
    </row>
    <row r="4" spans="1:8">
      <c r="A4">
        <v>1</v>
      </c>
      <c r="B4" t="s">
        <v>169</v>
      </c>
      <c r="C4">
        <v>1</v>
      </c>
      <c r="D4" t="str">
        <f>HLOOKUP(LEFT(B4,1),$A$11:$F$14,2,0)</f>
        <v>Gạo</v>
      </c>
      <c r="E4">
        <f>HLOOKUP(LEFT(B4,1),$A$11:$F$14,IF(MID(B4,2,1)="M",3,4),0)</f>
        <v>4800</v>
      </c>
      <c r="F4">
        <v>100</v>
      </c>
      <c r="G4">
        <f>E4*F4</f>
        <v>480000</v>
      </c>
      <c r="H4" t="str">
        <f>IF(MID(B4,2,1)="M","Mua Vào","Bán Ra")</f>
        <v>Mua Vào</v>
      </c>
    </row>
    <row r="5" spans="1:8">
      <c r="A5">
        <v>2</v>
      </c>
      <c r="B5" t="s">
        <v>170</v>
      </c>
      <c r="C5">
        <v>2</v>
      </c>
      <c r="D5" t="str">
        <f>HLOOKUP(LEFT(B5,1),$A$11:$F$14,2,0)</f>
        <v>Sữa</v>
      </c>
      <c r="E5">
        <f>HLOOKUP(LEFT(B5,1),$A$11:$F$14,IF(MID(B5,2,1)="M",3,4),0)</f>
        <v>9500</v>
      </c>
      <c r="F5">
        <v>30</v>
      </c>
      <c r="G5">
        <f>E5*F5</f>
        <v>285000</v>
      </c>
      <c r="H5" t="str">
        <f>IF(MID(B5,2,1)="M","Mua Vào","Bán Ra")</f>
        <v>Bán Ra</v>
      </c>
    </row>
    <row r="6" spans="1:8">
      <c r="A6">
        <v>3</v>
      </c>
      <c r="B6" t="s">
        <v>171</v>
      </c>
      <c r="C6">
        <v>1</v>
      </c>
      <c r="D6" t="str">
        <f>HLOOKUP(LEFT(B6,1),$A$11:$F$14,2,0)</f>
        <v>Gạo</v>
      </c>
      <c r="E6">
        <f>HLOOKUP(LEFT(B6,1),$A$11:$F$14,IF(MID(B6,2,1)="M",3,4),0)</f>
        <v>6500</v>
      </c>
      <c r="F6">
        <v>50</v>
      </c>
      <c r="G6">
        <f>E6*F6</f>
        <v>325000</v>
      </c>
      <c r="H6" t="str">
        <f>IF(MID(B6,2,1)="M","Mua Vào","Bán Ra")</f>
        <v>Bán Ra</v>
      </c>
    </row>
    <row r="7" spans="1:8">
      <c r="A7">
        <v>4</v>
      </c>
      <c r="B7" t="s">
        <v>172</v>
      </c>
      <c r="C7">
        <v>3</v>
      </c>
      <c r="D7" t="str">
        <f>HLOOKUP(LEFT(B7,1),$A$11:$F$14,2,0)</f>
        <v>Bánh</v>
      </c>
      <c r="E7">
        <f>HLOOKUP(LEFT(B7,1),$A$11:$F$14,IF(MID(B7,2,1)="M",3,4),0)</f>
        <v>12000</v>
      </c>
      <c r="F7">
        <v>125</v>
      </c>
      <c r="G7">
        <f>E7*F7</f>
        <v>1500000</v>
      </c>
      <c r="H7" t="str">
        <f>IF(MID(B7,2,1)="M","Mua Vào","Bán Ra")</f>
        <v>Bán Ra</v>
      </c>
    </row>
    <row r="8" spans="1:8">
      <c r="A8">
        <v>5</v>
      </c>
      <c r="B8" t="s">
        <v>173</v>
      </c>
      <c r="C8">
        <v>1</v>
      </c>
      <c r="D8" t="str">
        <f>HLOOKUP(LEFT(B8,1),$A$11:$F$14,2,0)</f>
        <v>Bánh</v>
      </c>
      <c r="E8">
        <f>HLOOKUP(LEFT(B8,1),$A$11:$F$14,IF(MID(B8,2,1)="M",3,4),0)</f>
        <v>11300</v>
      </c>
      <c r="F8">
        <v>150</v>
      </c>
      <c r="G8">
        <f>E8*F8</f>
        <v>1695000</v>
      </c>
      <c r="H8" t="str">
        <f>IF(MID(B8,2,1)="M","Mua Vào","Bán Ra")</f>
        <v>Mua Vào</v>
      </c>
    </row>
    <row r="11" spans="1:8">
      <c r="A11" t="s">
        <v>157</v>
      </c>
      <c r="B11" t="s">
        <v>159</v>
      </c>
      <c r="C11" t="s">
        <v>167</v>
      </c>
      <c r="D11" t="s">
        <v>160</v>
      </c>
      <c r="E11" t="s">
        <v>161</v>
      </c>
      <c r="F11" t="s">
        <v>158</v>
      </c>
    </row>
    <row r="12" spans="1:8">
      <c r="A12" t="s">
        <v>121</v>
      </c>
      <c r="B12" t="s">
        <v>163</v>
      </c>
      <c r="C12" t="s">
        <v>164</v>
      </c>
      <c r="D12" t="s">
        <v>165</v>
      </c>
      <c r="E12" t="s">
        <v>166</v>
      </c>
      <c r="F12" t="s">
        <v>162</v>
      </c>
    </row>
    <row r="13" spans="1:8" ht="31.5">
      <c r="A13" s="4" t="s">
        <v>176</v>
      </c>
      <c r="B13">
        <v>8200</v>
      </c>
      <c r="C13">
        <v>3100</v>
      </c>
      <c r="D13">
        <v>11300</v>
      </c>
      <c r="E13">
        <v>12200</v>
      </c>
      <c r="F13">
        <v>4800</v>
      </c>
    </row>
    <row r="14" spans="1:8" ht="31.5">
      <c r="A14" s="4" t="s">
        <v>177</v>
      </c>
      <c r="B14" s="15">
        <v>9500</v>
      </c>
      <c r="C14" s="15">
        <v>4000</v>
      </c>
      <c r="D14" s="15">
        <v>12000</v>
      </c>
      <c r="E14" s="15">
        <v>13000</v>
      </c>
      <c r="F14" s="15">
        <v>6500</v>
      </c>
      <c r="G14" s="15"/>
    </row>
  </sheetData>
  <sheetProtection password="CADB" sheet="1" objects="1" scenarios="1"/>
  <mergeCells count="1">
    <mergeCell ref="A2:H2"/>
  </mergeCells>
  <phoneticPr fontId="0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sqref="A1:XFD1048576"/>
    </sheetView>
  </sheetViews>
  <sheetFormatPr defaultRowHeight="15.75"/>
  <cols>
    <col min="7" max="7" width="15" bestFit="1" customWidth="1"/>
    <col min="8" max="8" width="10.875" bestFit="1" customWidth="1"/>
  </cols>
  <sheetData>
    <row r="1" spans="1:13">
      <c r="A1" t="s">
        <v>415</v>
      </c>
    </row>
    <row r="2" spans="1:13">
      <c r="A2" s="45" t="s">
        <v>179</v>
      </c>
      <c r="B2" s="45"/>
      <c r="C2" s="45"/>
      <c r="D2" s="45"/>
      <c r="E2" s="45"/>
      <c r="F2" s="45"/>
      <c r="G2" s="45"/>
      <c r="H2" s="45"/>
    </row>
    <row r="3" spans="1:13" ht="31.5">
      <c r="A3" t="s">
        <v>1</v>
      </c>
      <c r="B3" s="4" t="s">
        <v>180</v>
      </c>
      <c r="C3" t="s">
        <v>122</v>
      </c>
      <c r="D3" t="s">
        <v>121</v>
      </c>
      <c r="E3" s="4" t="s">
        <v>181</v>
      </c>
      <c r="F3" t="s">
        <v>125</v>
      </c>
      <c r="G3" t="s">
        <v>128</v>
      </c>
      <c r="H3" s="4" t="s">
        <v>182</v>
      </c>
      <c r="K3" t="s">
        <v>122</v>
      </c>
      <c r="L3" t="s">
        <v>121</v>
      </c>
      <c r="M3" t="s">
        <v>87</v>
      </c>
    </row>
    <row r="4" spans="1:13">
      <c r="A4">
        <v>1</v>
      </c>
      <c r="B4" s="13" t="s">
        <v>183</v>
      </c>
      <c r="C4" t="s">
        <v>161</v>
      </c>
      <c r="D4" t="str">
        <f>VLOOKUP(C4,$K$3:$M$6,2,0)</f>
        <v>Dầu</v>
      </c>
      <c r="E4">
        <f>VLOOKUP(C4,$K$3:$M$6,3,0)</f>
        <v>11500</v>
      </c>
      <c r="F4">
        <v>2000</v>
      </c>
      <c r="G4" s="9">
        <f>E4*F4</f>
        <v>23000000</v>
      </c>
      <c r="H4">
        <f>IF(C4="D",8%*G4,IF(C4="X",7%*G4,8.5%*G4))</f>
        <v>1840000</v>
      </c>
      <c r="K4" t="s">
        <v>190</v>
      </c>
      <c r="L4" t="s">
        <v>192</v>
      </c>
      <c r="M4">
        <v>14500</v>
      </c>
    </row>
    <row r="5" spans="1:13">
      <c r="A5">
        <v>2</v>
      </c>
      <c r="B5" s="13" t="s">
        <v>184</v>
      </c>
      <c r="C5" t="s">
        <v>161</v>
      </c>
      <c r="D5" t="str">
        <f t="shared" ref="D5:D10" si="0">VLOOKUP(C5,$K$3:$M$6,2,0)</f>
        <v>Dầu</v>
      </c>
      <c r="E5">
        <f t="shared" ref="E5:E10" si="1">VLOOKUP(C5,$K$3:$M$6,3,0)</f>
        <v>11500</v>
      </c>
      <c r="F5">
        <v>3000</v>
      </c>
      <c r="G5" s="9">
        <f t="shared" ref="G5:G10" si="2">E5*F5</f>
        <v>34500000</v>
      </c>
      <c r="H5">
        <f t="shared" ref="H5:H10" si="3">IF(C5="D",8%*G5,IF(C5="X",7%*G5,8.5%*G5))</f>
        <v>2760000</v>
      </c>
      <c r="K5" t="s">
        <v>191</v>
      </c>
      <c r="L5" t="s">
        <v>193</v>
      </c>
      <c r="M5">
        <v>35000</v>
      </c>
    </row>
    <row r="6" spans="1:13">
      <c r="A6">
        <v>3</v>
      </c>
      <c r="B6" s="13" t="s">
        <v>185</v>
      </c>
      <c r="C6" t="s">
        <v>190</v>
      </c>
      <c r="D6" t="str">
        <f t="shared" si="0"/>
        <v>Xăng</v>
      </c>
      <c r="E6">
        <f t="shared" si="1"/>
        <v>14500</v>
      </c>
      <c r="F6">
        <v>2500</v>
      </c>
      <c r="G6" s="9">
        <f t="shared" si="2"/>
        <v>36250000</v>
      </c>
      <c r="H6">
        <f t="shared" si="3"/>
        <v>2537500.0000000005</v>
      </c>
      <c r="K6" t="s">
        <v>161</v>
      </c>
      <c r="L6" t="s">
        <v>194</v>
      </c>
      <c r="M6">
        <v>11500</v>
      </c>
    </row>
    <row r="7" spans="1:13">
      <c r="A7">
        <v>4</v>
      </c>
      <c r="B7" s="13" t="s">
        <v>186</v>
      </c>
      <c r="C7" t="s">
        <v>191</v>
      </c>
      <c r="D7" t="str">
        <f t="shared" si="0"/>
        <v>Nhớt</v>
      </c>
      <c r="E7">
        <f t="shared" si="1"/>
        <v>35000</v>
      </c>
      <c r="F7">
        <v>1500</v>
      </c>
      <c r="G7" s="9">
        <f t="shared" si="2"/>
        <v>52500000</v>
      </c>
      <c r="H7">
        <f t="shared" si="3"/>
        <v>4462500</v>
      </c>
    </row>
    <row r="8" spans="1:13">
      <c r="A8">
        <v>5</v>
      </c>
      <c r="B8" s="13" t="s">
        <v>187</v>
      </c>
      <c r="C8" t="s">
        <v>161</v>
      </c>
      <c r="D8" t="str">
        <f t="shared" si="0"/>
        <v>Dầu</v>
      </c>
      <c r="E8">
        <f t="shared" si="1"/>
        <v>11500</v>
      </c>
      <c r="F8">
        <v>2000</v>
      </c>
      <c r="G8" s="9">
        <f t="shared" si="2"/>
        <v>23000000</v>
      </c>
      <c r="H8">
        <f t="shared" si="3"/>
        <v>1840000</v>
      </c>
    </row>
    <row r="9" spans="1:13">
      <c r="A9">
        <v>6</v>
      </c>
      <c r="B9" s="13" t="s">
        <v>188</v>
      </c>
      <c r="C9" t="s">
        <v>191</v>
      </c>
      <c r="D9" t="str">
        <f t="shared" si="0"/>
        <v>Nhớt</v>
      </c>
      <c r="E9">
        <f t="shared" si="1"/>
        <v>35000</v>
      </c>
      <c r="F9">
        <v>4000</v>
      </c>
      <c r="G9" s="9">
        <f t="shared" si="2"/>
        <v>140000000</v>
      </c>
      <c r="H9">
        <f t="shared" si="3"/>
        <v>11900000</v>
      </c>
    </row>
    <row r="10" spans="1:13">
      <c r="A10">
        <v>7</v>
      </c>
      <c r="B10" s="13" t="s">
        <v>189</v>
      </c>
      <c r="C10" t="s">
        <v>190</v>
      </c>
      <c r="D10" t="str">
        <f t="shared" si="0"/>
        <v>Xăng</v>
      </c>
      <c r="E10">
        <f t="shared" si="1"/>
        <v>14500</v>
      </c>
      <c r="F10">
        <v>3500</v>
      </c>
      <c r="G10" s="9">
        <f t="shared" si="2"/>
        <v>50750000</v>
      </c>
      <c r="H10">
        <f t="shared" si="3"/>
        <v>3552500.0000000005</v>
      </c>
    </row>
    <row r="11" spans="1:13">
      <c r="B11" s="13"/>
    </row>
    <row r="14" spans="1:13" ht="47.25">
      <c r="B14" s="19" t="s">
        <v>121</v>
      </c>
      <c r="C14" s="6" t="s">
        <v>195</v>
      </c>
    </row>
    <row r="15" spans="1:13">
      <c r="B15" t="s">
        <v>192</v>
      </c>
      <c r="C15">
        <f>SUMIF($D$4:$D$10,B15,$H$4:$H$10)</f>
        <v>6090000.0000000009</v>
      </c>
    </row>
    <row r="16" spans="1:13">
      <c r="B16" t="s">
        <v>193</v>
      </c>
      <c r="C16">
        <f>SUMIF($D$4:$D$10,B16,$H$4:$H$10)</f>
        <v>16362500</v>
      </c>
    </row>
    <row r="17" spans="2:3">
      <c r="B17" t="s">
        <v>194</v>
      </c>
      <c r="C17">
        <f>SUMIF($D$4:$D$10,B17,$H$4:$H$10)</f>
        <v>6440000</v>
      </c>
    </row>
  </sheetData>
  <sheetProtection password="CADB" sheet="1" objects="1" scenarios="1"/>
  <mergeCells count="1">
    <mergeCell ref="A2:H2"/>
  </mergeCells>
  <phoneticPr fontId="0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sqref="A1:XFD1048576"/>
    </sheetView>
  </sheetViews>
  <sheetFormatPr defaultRowHeight="15.75"/>
  <cols>
    <col min="3" max="3" width="14" customWidth="1"/>
    <col min="10" max="10" width="12.25" customWidth="1"/>
  </cols>
  <sheetData>
    <row r="1" spans="1:11">
      <c r="A1" t="s">
        <v>415</v>
      </c>
    </row>
    <row r="2" spans="1:11">
      <c r="A2" s="45" t="s">
        <v>196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31.5">
      <c r="A3" t="s">
        <v>1</v>
      </c>
      <c r="B3" s="4" t="s">
        <v>197</v>
      </c>
      <c r="C3" s="4" t="s">
        <v>198</v>
      </c>
      <c r="D3" s="4" t="s">
        <v>199</v>
      </c>
      <c r="E3" s="4" t="s">
        <v>200</v>
      </c>
      <c r="F3" s="4" t="s">
        <v>201</v>
      </c>
      <c r="G3" s="4" t="s">
        <v>202</v>
      </c>
      <c r="H3" s="4" t="s">
        <v>203</v>
      </c>
      <c r="I3" s="4" t="s">
        <v>204</v>
      </c>
      <c r="J3" s="4" t="s">
        <v>205</v>
      </c>
      <c r="K3" s="4" t="s">
        <v>206</v>
      </c>
    </row>
    <row r="4" spans="1:11">
      <c r="A4">
        <v>1</v>
      </c>
      <c r="B4" t="s">
        <v>207</v>
      </c>
      <c r="C4" t="s">
        <v>211</v>
      </c>
      <c r="D4" t="s">
        <v>223</v>
      </c>
      <c r="E4">
        <v>300000</v>
      </c>
      <c r="F4">
        <v>25</v>
      </c>
      <c r="G4">
        <f>E4*F4</f>
        <v>7500000</v>
      </c>
      <c r="H4">
        <f>VLOOKUP(D4,$A$20:$B$26,2,0)</f>
        <v>300000</v>
      </c>
      <c r="I4">
        <f>G4*(HLOOKUP(B4,$D$19:$G$20,2,0))</f>
        <v>0</v>
      </c>
      <c r="J4">
        <f>ROUND(((G4+H4+I4)*2)/3,2)</f>
        <v>5200000</v>
      </c>
      <c r="K4">
        <f>(G4+H4+I4)-J4</f>
        <v>2600000</v>
      </c>
    </row>
    <row r="5" spans="1:11">
      <c r="A5">
        <v>2</v>
      </c>
      <c r="B5" t="s">
        <v>207</v>
      </c>
      <c r="C5" t="s">
        <v>212</v>
      </c>
      <c r="D5" t="s">
        <v>207</v>
      </c>
      <c r="E5">
        <v>500000</v>
      </c>
      <c r="F5">
        <v>27</v>
      </c>
      <c r="G5">
        <f t="shared" ref="G5:G15" si="0">E5*F5</f>
        <v>13500000</v>
      </c>
      <c r="H5">
        <f t="shared" ref="H5:H15" si="1">VLOOKUP(D5,$A$20:$B$26,2,0)</f>
        <v>350000</v>
      </c>
      <c r="I5">
        <f t="shared" ref="I5:I15" si="2">G5*(HLOOKUP(B5,$D$19:$G$20,2,0))</f>
        <v>0</v>
      </c>
      <c r="J5">
        <f t="shared" ref="J5:J15" si="3">ROUND(((G5+H5+I5)*2)/3,2)</f>
        <v>9233333.3300000001</v>
      </c>
      <c r="K5">
        <f t="shared" ref="K5:K15" si="4">(G5+H5+I5)-J5</f>
        <v>4616666.67</v>
      </c>
    </row>
    <row r="6" spans="1:11">
      <c r="A6">
        <v>3</v>
      </c>
      <c r="B6" t="s">
        <v>208</v>
      </c>
      <c r="C6" t="s">
        <v>213</v>
      </c>
      <c r="D6" t="s">
        <v>224</v>
      </c>
      <c r="E6">
        <v>300000</v>
      </c>
      <c r="F6">
        <v>24</v>
      </c>
      <c r="G6">
        <f t="shared" si="0"/>
        <v>7200000</v>
      </c>
      <c r="H6">
        <f t="shared" si="1"/>
        <v>200000</v>
      </c>
      <c r="I6">
        <f t="shared" si="2"/>
        <v>216000</v>
      </c>
      <c r="J6">
        <f t="shared" si="3"/>
        <v>5077333.33</v>
      </c>
      <c r="K6">
        <f t="shared" si="4"/>
        <v>2538666.67</v>
      </c>
    </row>
    <row r="7" spans="1:11">
      <c r="A7">
        <v>4</v>
      </c>
      <c r="B7" t="s">
        <v>210</v>
      </c>
      <c r="C7" t="s">
        <v>214</v>
      </c>
      <c r="D7" t="s">
        <v>225</v>
      </c>
      <c r="E7">
        <v>250000</v>
      </c>
      <c r="F7">
        <v>26</v>
      </c>
      <c r="G7">
        <f t="shared" si="0"/>
        <v>6500000</v>
      </c>
      <c r="H7">
        <f t="shared" si="1"/>
        <v>150000</v>
      </c>
      <c r="I7">
        <f t="shared" si="2"/>
        <v>195000</v>
      </c>
      <c r="J7">
        <f t="shared" si="3"/>
        <v>4563333.33</v>
      </c>
      <c r="K7">
        <f t="shared" si="4"/>
        <v>2281666.67</v>
      </c>
    </row>
    <row r="8" spans="1:11">
      <c r="A8">
        <v>5</v>
      </c>
      <c r="B8" t="s">
        <v>208</v>
      </c>
      <c r="C8" t="s">
        <v>215</v>
      </c>
      <c r="D8" t="s">
        <v>225</v>
      </c>
      <c r="E8">
        <v>250000</v>
      </c>
      <c r="F8">
        <v>23</v>
      </c>
      <c r="G8">
        <f t="shared" si="0"/>
        <v>5750000</v>
      </c>
      <c r="H8">
        <f t="shared" si="1"/>
        <v>150000</v>
      </c>
      <c r="I8">
        <f t="shared" si="2"/>
        <v>172500</v>
      </c>
      <c r="J8">
        <f t="shared" si="3"/>
        <v>4048333.33</v>
      </c>
      <c r="K8">
        <f t="shared" si="4"/>
        <v>2024166.67</v>
      </c>
    </row>
    <row r="9" spans="1:11">
      <c r="A9">
        <v>6</v>
      </c>
      <c r="B9" t="s">
        <v>210</v>
      </c>
      <c r="C9" t="s">
        <v>216</v>
      </c>
      <c r="D9" t="s">
        <v>224</v>
      </c>
      <c r="E9">
        <v>300000</v>
      </c>
      <c r="F9">
        <v>24</v>
      </c>
      <c r="G9">
        <f t="shared" si="0"/>
        <v>7200000</v>
      </c>
      <c r="H9">
        <f t="shared" si="1"/>
        <v>200000</v>
      </c>
      <c r="I9">
        <f t="shared" si="2"/>
        <v>216000</v>
      </c>
      <c r="J9">
        <f t="shared" si="3"/>
        <v>5077333.33</v>
      </c>
      <c r="K9">
        <f t="shared" si="4"/>
        <v>2538666.67</v>
      </c>
    </row>
    <row r="10" spans="1:11">
      <c r="A10">
        <v>7</v>
      </c>
      <c r="B10" t="s">
        <v>207</v>
      </c>
      <c r="C10" t="s">
        <v>217</v>
      </c>
      <c r="D10" t="s">
        <v>223</v>
      </c>
      <c r="E10">
        <v>250000</v>
      </c>
      <c r="F10">
        <v>29</v>
      </c>
      <c r="G10">
        <f t="shared" si="0"/>
        <v>7250000</v>
      </c>
      <c r="H10">
        <f t="shared" si="1"/>
        <v>300000</v>
      </c>
      <c r="I10">
        <f t="shared" si="2"/>
        <v>0</v>
      </c>
      <c r="J10">
        <f t="shared" si="3"/>
        <v>5033333.33</v>
      </c>
      <c r="K10">
        <f t="shared" si="4"/>
        <v>2516666.67</v>
      </c>
    </row>
    <row r="11" spans="1:11">
      <c r="A11">
        <v>8</v>
      </c>
      <c r="B11" t="s">
        <v>209</v>
      </c>
      <c r="C11" t="s">
        <v>218</v>
      </c>
      <c r="D11" t="s">
        <v>226</v>
      </c>
      <c r="E11">
        <v>200000</v>
      </c>
      <c r="F11">
        <v>24</v>
      </c>
      <c r="G11">
        <f t="shared" si="0"/>
        <v>4800000</v>
      </c>
      <c r="H11">
        <f t="shared" si="1"/>
        <v>100000</v>
      </c>
      <c r="I11">
        <f t="shared" si="2"/>
        <v>96000</v>
      </c>
      <c r="J11">
        <f t="shared" si="3"/>
        <v>3330666.67</v>
      </c>
      <c r="K11">
        <f t="shared" si="4"/>
        <v>1665333.33</v>
      </c>
    </row>
    <row r="12" spans="1:11">
      <c r="A12">
        <v>9</v>
      </c>
      <c r="B12" t="s">
        <v>208</v>
      </c>
      <c r="C12" t="s">
        <v>219</v>
      </c>
      <c r="D12" t="s">
        <v>227</v>
      </c>
      <c r="E12">
        <v>220000</v>
      </c>
      <c r="F12">
        <v>26</v>
      </c>
      <c r="G12">
        <f t="shared" si="0"/>
        <v>5720000</v>
      </c>
      <c r="H12">
        <f t="shared" si="1"/>
        <v>120000</v>
      </c>
      <c r="I12">
        <f t="shared" si="2"/>
        <v>171600</v>
      </c>
      <c r="J12">
        <f t="shared" si="3"/>
        <v>4007733.33</v>
      </c>
      <c r="K12">
        <f t="shared" si="4"/>
        <v>2003866.67</v>
      </c>
    </row>
    <row r="13" spans="1:11">
      <c r="A13">
        <v>10</v>
      </c>
      <c r="B13" t="s">
        <v>210</v>
      </c>
      <c r="C13" t="s">
        <v>220</v>
      </c>
      <c r="D13" t="s">
        <v>226</v>
      </c>
      <c r="E13">
        <v>200000</v>
      </c>
      <c r="F13">
        <v>25</v>
      </c>
      <c r="G13">
        <f t="shared" si="0"/>
        <v>5000000</v>
      </c>
      <c r="H13">
        <f t="shared" si="1"/>
        <v>100000</v>
      </c>
      <c r="I13">
        <f t="shared" si="2"/>
        <v>150000</v>
      </c>
      <c r="J13">
        <f t="shared" si="3"/>
        <v>3500000</v>
      </c>
      <c r="K13">
        <f t="shared" si="4"/>
        <v>1750000</v>
      </c>
    </row>
    <row r="14" spans="1:11">
      <c r="A14">
        <v>11</v>
      </c>
      <c r="B14" t="s">
        <v>209</v>
      </c>
      <c r="C14" t="s">
        <v>221</v>
      </c>
      <c r="D14" t="s">
        <v>228</v>
      </c>
      <c r="E14">
        <v>100000</v>
      </c>
      <c r="F14">
        <v>23</v>
      </c>
      <c r="G14">
        <f t="shared" si="0"/>
        <v>2300000</v>
      </c>
      <c r="H14">
        <f t="shared" si="1"/>
        <v>60000</v>
      </c>
      <c r="I14">
        <f t="shared" si="2"/>
        <v>46000</v>
      </c>
      <c r="J14">
        <f t="shared" si="3"/>
        <v>1604000</v>
      </c>
      <c r="K14">
        <f t="shared" si="4"/>
        <v>802000</v>
      </c>
    </row>
    <row r="15" spans="1:11">
      <c r="A15">
        <v>12</v>
      </c>
      <c r="B15" t="s">
        <v>209</v>
      </c>
      <c r="C15" t="s">
        <v>222</v>
      </c>
      <c r="D15" t="s">
        <v>226</v>
      </c>
      <c r="E15">
        <v>200000</v>
      </c>
      <c r="F15">
        <v>27</v>
      </c>
      <c r="G15">
        <f t="shared" si="0"/>
        <v>5400000</v>
      </c>
      <c r="H15">
        <f t="shared" si="1"/>
        <v>100000</v>
      </c>
      <c r="I15">
        <f t="shared" si="2"/>
        <v>108000</v>
      </c>
      <c r="J15">
        <f t="shared" si="3"/>
        <v>3738666.67</v>
      </c>
      <c r="K15">
        <f t="shared" si="4"/>
        <v>1869333.33</v>
      </c>
    </row>
    <row r="18" spans="1:7" ht="15.75" customHeight="1">
      <c r="A18" s="46" t="s">
        <v>229</v>
      </c>
      <c r="B18" s="45"/>
      <c r="D18" s="45" t="s">
        <v>231</v>
      </c>
      <c r="E18" s="45"/>
      <c r="F18" s="45"/>
      <c r="G18" s="45"/>
    </row>
    <row r="19" spans="1:7">
      <c r="A19" t="s">
        <v>230</v>
      </c>
      <c r="B19" t="s">
        <v>40</v>
      </c>
      <c r="D19" t="s">
        <v>207</v>
      </c>
      <c r="E19" t="s">
        <v>208</v>
      </c>
      <c r="F19" t="s">
        <v>210</v>
      </c>
      <c r="G19" t="s">
        <v>209</v>
      </c>
    </row>
    <row r="20" spans="1:7">
      <c r="A20" t="s">
        <v>207</v>
      </c>
      <c r="B20">
        <v>350000</v>
      </c>
      <c r="D20" s="17">
        <v>0</v>
      </c>
      <c r="E20" s="17">
        <v>0.03</v>
      </c>
      <c r="F20" s="17">
        <v>0.03</v>
      </c>
      <c r="G20" s="17">
        <v>0.02</v>
      </c>
    </row>
    <row r="21" spans="1:7">
      <c r="A21" t="s">
        <v>223</v>
      </c>
      <c r="B21">
        <v>300000</v>
      </c>
    </row>
    <row r="22" spans="1:7">
      <c r="A22" t="s">
        <v>224</v>
      </c>
      <c r="B22">
        <v>200000</v>
      </c>
      <c r="D22" s="45" t="s">
        <v>232</v>
      </c>
      <c r="E22" s="45"/>
      <c r="F22" s="45"/>
    </row>
    <row r="23" spans="1:7">
      <c r="A23" t="s">
        <v>225</v>
      </c>
      <c r="B23">
        <v>150000</v>
      </c>
      <c r="D23" s="45" t="s">
        <v>207</v>
      </c>
      <c r="E23" s="45"/>
      <c r="F23">
        <f>SUMIF($B$4:$B$15,D23,K4:K15)</f>
        <v>9733333.3399999999</v>
      </c>
    </row>
    <row r="24" spans="1:7">
      <c r="A24" t="s">
        <v>227</v>
      </c>
      <c r="B24">
        <v>120000</v>
      </c>
      <c r="D24" s="45" t="s">
        <v>208</v>
      </c>
      <c r="E24" s="45"/>
      <c r="F24">
        <f t="shared" ref="F24:F26" si="5">SUMIF($B$4:$B$15,D24,K5:K16)</f>
        <v>6570333.3399999999</v>
      </c>
    </row>
    <row r="25" spans="1:7">
      <c r="A25" t="s">
        <v>228</v>
      </c>
      <c r="B25">
        <v>60000</v>
      </c>
      <c r="D25" s="45" t="s">
        <v>210</v>
      </c>
      <c r="E25" s="45"/>
      <c r="F25">
        <f t="shared" si="5"/>
        <v>6073333.3300000001</v>
      </c>
    </row>
    <row r="26" spans="1:7">
      <c r="A26" t="s">
        <v>226</v>
      </c>
      <c r="B26">
        <v>100000</v>
      </c>
      <c r="D26" s="45" t="s">
        <v>209</v>
      </c>
      <c r="E26" s="45"/>
      <c r="F26">
        <f t="shared" si="5"/>
        <v>802000</v>
      </c>
    </row>
  </sheetData>
  <sheetProtection password="CADB" sheet="1" objects="1" scenarios="1"/>
  <mergeCells count="8">
    <mergeCell ref="D25:E25"/>
    <mergeCell ref="D26:E26"/>
    <mergeCell ref="A2:K2"/>
    <mergeCell ref="A18:B18"/>
    <mergeCell ref="D18:G18"/>
    <mergeCell ref="D22:F22"/>
    <mergeCell ref="D23:E23"/>
    <mergeCell ref="D24:E24"/>
  </mergeCells>
  <phoneticPr fontId="0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L19"/>
  <sheetViews>
    <sheetView topLeftCell="C1" workbookViewId="0">
      <selection activeCell="C1" sqref="A1:XFD1048576"/>
    </sheetView>
  </sheetViews>
  <sheetFormatPr defaultRowHeight="15.75"/>
  <cols>
    <col min="5" max="5" width="11.875" customWidth="1"/>
    <col min="6" max="6" width="11.5" customWidth="1"/>
    <col min="7" max="7" width="6" style="1" customWidth="1"/>
    <col min="9" max="9" width="6.5" style="1" customWidth="1"/>
    <col min="11" max="11" width="11.375" customWidth="1"/>
    <col min="12" max="12" width="7" hidden="1" customWidth="1"/>
  </cols>
  <sheetData>
    <row r="1" spans="1:12">
      <c r="C1" t="s">
        <v>415</v>
      </c>
    </row>
    <row r="2" spans="1:12">
      <c r="A2" s="45" t="s">
        <v>233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2" ht="31.5">
      <c r="A3" t="s">
        <v>1</v>
      </c>
      <c r="B3" t="s">
        <v>18</v>
      </c>
      <c r="C3" s="4" t="s">
        <v>234</v>
      </c>
      <c r="D3" t="s">
        <v>235</v>
      </c>
      <c r="E3" t="s">
        <v>236</v>
      </c>
      <c r="F3" t="s">
        <v>237</v>
      </c>
      <c r="G3" s="1" t="s">
        <v>238</v>
      </c>
      <c r="H3" t="s">
        <v>239</v>
      </c>
      <c r="I3" s="1" t="s">
        <v>240</v>
      </c>
      <c r="J3" t="s">
        <v>241</v>
      </c>
      <c r="K3" t="s">
        <v>242</v>
      </c>
      <c r="L3" t="s">
        <v>396</v>
      </c>
    </row>
    <row r="4" spans="1:12">
      <c r="A4">
        <v>1</v>
      </c>
      <c r="B4" t="s">
        <v>100</v>
      </c>
      <c r="C4" t="s">
        <v>251</v>
      </c>
      <c r="D4" t="s">
        <v>253</v>
      </c>
      <c r="E4" s="2">
        <v>39151</v>
      </c>
      <c r="F4" s="2">
        <v>39195</v>
      </c>
      <c r="G4" s="22">
        <f>INT((F4-E4)/7)</f>
        <v>6</v>
      </c>
      <c r="H4">
        <f>VLOOKUP(LEFT(D4,2),$B$15:$D$19,2,0)*IF(RIGHT(D4)="b",150%,IF(RIGHT(D4)="a",125%,100%))</f>
        <v>1200000</v>
      </c>
      <c r="I4" s="22">
        <f>(F4-E4)-INT((F4-E4)/7)*7</f>
        <v>2</v>
      </c>
      <c r="J4">
        <f>VLOOKUP(LEFT(D4,2),$B$15:$D$19,3,0)*IF(RIGHT(D4)="b",150%,IF(RIGHT(D4)="a",125%,100%))</f>
        <v>240000</v>
      </c>
      <c r="K4" s="23">
        <f>IF(OR(C4=$C$6,F4-E4&gt;=31),90%,100%)*(G4*H4)+(I4*J4)</f>
        <v>6960000</v>
      </c>
      <c r="L4" s="1" t="str">
        <f>LEFT(D4,2)</f>
        <v>L3</v>
      </c>
    </row>
    <row r="5" spans="1:12">
      <c r="A5">
        <v>2</v>
      </c>
      <c r="B5" t="s">
        <v>243</v>
      </c>
      <c r="C5" t="s">
        <v>252</v>
      </c>
      <c r="D5" t="s">
        <v>254</v>
      </c>
      <c r="E5" s="2">
        <v>39195</v>
      </c>
      <c r="F5" s="2">
        <v>39213</v>
      </c>
      <c r="G5" s="22">
        <f t="shared" ref="G5:G13" si="0">INT((F5-E5)/7)</f>
        <v>2</v>
      </c>
      <c r="H5">
        <f t="shared" ref="H5:H13" si="1">VLOOKUP(LEFT(D5,2),$B$15:$D$19,2,0)*IF(RIGHT(D5)="b",150%,IF(RIGHT(D5)="a",125%,100%))</f>
        <v>1125000</v>
      </c>
      <c r="I5" s="22">
        <f t="shared" ref="I5:I13" si="2">(F5-E5)-INT((F5-E5)/7)*7</f>
        <v>4</v>
      </c>
      <c r="J5">
        <f t="shared" ref="J5:J13" si="3">VLOOKUP(LEFT(D5,2),$B$15:$D$19,3,0)*IF(RIGHT(D5)="b",150%,IF(RIGHT(D5)="a",125%,100%))</f>
        <v>225000</v>
      </c>
      <c r="K5" s="23">
        <f t="shared" ref="K5:K13" si="4">IF(OR(C5=$C$6,F5-E5&gt;=31),90%,100%)*(G5*H5)+(I5*J5)</f>
        <v>3150000</v>
      </c>
      <c r="L5" s="1" t="str">
        <f t="shared" ref="L5:L13" si="5">LEFT(D5,2)</f>
        <v>L2</v>
      </c>
    </row>
    <row r="6" spans="1:12">
      <c r="A6">
        <v>3</v>
      </c>
      <c r="B6" t="s">
        <v>244</v>
      </c>
      <c r="C6" t="s">
        <v>251</v>
      </c>
      <c r="D6" t="s">
        <v>255</v>
      </c>
      <c r="E6" s="2">
        <v>39125</v>
      </c>
      <c r="F6" s="2">
        <v>39160</v>
      </c>
      <c r="G6" s="22">
        <f t="shared" si="0"/>
        <v>5</v>
      </c>
      <c r="H6">
        <f t="shared" si="1"/>
        <v>1000000</v>
      </c>
      <c r="I6" s="22">
        <f t="shared" si="2"/>
        <v>0</v>
      </c>
      <c r="J6">
        <f t="shared" si="3"/>
        <v>200000</v>
      </c>
      <c r="K6" s="23">
        <f t="shared" si="4"/>
        <v>4500000</v>
      </c>
      <c r="L6" s="1" t="str">
        <f t="shared" si="5"/>
        <v>L1</v>
      </c>
    </row>
    <row r="7" spans="1:12">
      <c r="A7">
        <v>4</v>
      </c>
      <c r="B7" t="s">
        <v>29</v>
      </c>
      <c r="C7" t="s">
        <v>252</v>
      </c>
      <c r="D7" t="s">
        <v>256</v>
      </c>
      <c r="E7" s="2">
        <v>39108</v>
      </c>
      <c r="F7" s="2">
        <v>39120</v>
      </c>
      <c r="G7" s="22">
        <f t="shared" si="0"/>
        <v>1</v>
      </c>
      <c r="H7">
        <f t="shared" si="1"/>
        <v>1500000</v>
      </c>
      <c r="I7" s="22">
        <f t="shared" si="2"/>
        <v>5</v>
      </c>
      <c r="J7">
        <f t="shared" si="3"/>
        <v>300000</v>
      </c>
      <c r="K7" s="23">
        <f t="shared" si="4"/>
        <v>3000000</v>
      </c>
      <c r="L7" s="1" t="str">
        <f t="shared" si="5"/>
        <v>L1</v>
      </c>
    </row>
    <row r="8" spans="1:12">
      <c r="A8">
        <v>5</v>
      </c>
      <c r="B8" t="s">
        <v>245</v>
      </c>
      <c r="C8" t="s">
        <v>251</v>
      </c>
      <c r="D8" t="s">
        <v>257</v>
      </c>
      <c r="E8" s="2">
        <v>39160</v>
      </c>
      <c r="F8" s="2">
        <v>39197</v>
      </c>
      <c r="G8" s="22">
        <f t="shared" si="0"/>
        <v>5</v>
      </c>
      <c r="H8">
        <f t="shared" si="1"/>
        <v>875000</v>
      </c>
      <c r="I8" s="22">
        <f t="shared" si="2"/>
        <v>2</v>
      </c>
      <c r="J8">
        <f t="shared" si="3"/>
        <v>162500</v>
      </c>
      <c r="K8" s="23">
        <f t="shared" si="4"/>
        <v>4262500</v>
      </c>
      <c r="L8" s="1" t="str">
        <f t="shared" si="5"/>
        <v>TR</v>
      </c>
    </row>
    <row r="9" spans="1:12">
      <c r="A9">
        <v>6</v>
      </c>
      <c r="B9" t="s">
        <v>246</v>
      </c>
      <c r="C9" t="s">
        <v>252</v>
      </c>
      <c r="D9" t="s">
        <v>261</v>
      </c>
      <c r="E9" s="2">
        <v>39184</v>
      </c>
      <c r="F9" s="2">
        <v>39224</v>
      </c>
      <c r="G9" s="22">
        <f t="shared" si="0"/>
        <v>5</v>
      </c>
      <c r="H9">
        <f t="shared" si="1"/>
        <v>700000</v>
      </c>
      <c r="I9" s="22">
        <f t="shared" si="2"/>
        <v>5</v>
      </c>
      <c r="J9">
        <f t="shared" si="3"/>
        <v>130000</v>
      </c>
      <c r="K9" s="23">
        <f t="shared" si="4"/>
        <v>3800000</v>
      </c>
      <c r="L9" s="1" t="str">
        <f t="shared" si="5"/>
        <v>TR</v>
      </c>
    </row>
    <row r="10" spans="1:12">
      <c r="A10">
        <v>7</v>
      </c>
      <c r="B10" t="s">
        <v>247</v>
      </c>
      <c r="C10" t="s">
        <v>252</v>
      </c>
      <c r="D10" t="s">
        <v>258</v>
      </c>
      <c r="E10" s="2">
        <v>39164</v>
      </c>
      <c r="F10" s="2">
        <v>39177</v>
      </c>
      <c r="G10" s="22">
        <f t="shared" si="0"/>
        <v>1</v>
      </c>
      <c r="H10">
        <f t="shared" si="1"/>
        <v>1250000</v>
      </c>
      <c r="I10" s="22">
        <f t="shared" si="2"/>
        <v>6</v>
      </c>
      <c r="J10">
        <f t="shared" si="3"/>
        <v>250000</v>
      </c>
      <c r="K10" s="23">
        <f t="shared" si="4"/>
        <v>2750000</v>
      </c>
      <c r="L10" s="1" t="str">
        <f t="shared" si="5"/>
        <v>L1</v>
      </c>
    </row>
    <row r="11" spans="1:12">
      <c r="A11">
        <v>8</v>
      </c>
      <c r="B11" t="s">
        <v>248</v>
      </c>
      <c r="C11" t="s">
        <v>251</v>
      </c>
      <c r="D11" t="s">
        <v>259</v>
      </c>
      <c r="E11" s="2">
        <v>39186</v>
      </c>
      <c r="F11" s="2">
        <v>39229</v>
      </c>
      <c r="G11" s="22">
        <f t="shared" si="0"/>
        <v>6</v>
      </c>
      <c r="H11">
        <f t="shared" si="1"/>
        <v>1350000</v>
      </c>
      <c r="I11" s="22">
        <f t="shared" si="2"/>
        <v>1</v>
      </c>
      <c r="J11">
        <f t="shared" si="3"/>
        <v>270000</v>
      </c>
      <c r="K11" s="23">
        <f t="shared" si="4"/>
        <v>7560000</v>
      </c>
      <c r="L11" s="1" t="str">
        <f t="shared" si="5"/>
        <v>L2</v>
      </c>
    </row>
    <row r="12" spans="1:12">
      <c r="A12">
        <v>9</v>
      </c>
      <c r="B12" t="s">
        <v>249</v>
      </c>
      <c r="C12" t="s">
        <v>252</v>
      </c>
      <c r="D12" t="s">
        <v>255</v>
      </c>
      <c r="E12" s="2">
        <v>39165</v>
      </c>
      <c r="F12" s="2">
        <v>39198</v>
      </c>
      <c r="G12" s="22">
        <f t="shared" si="0"/>
        <v>4</v>
      </c>
      <c r="H12">
        <f t="shared" si="1"/>
        <v>1000000</v>
      </c>
      <c r="I12" s="22">
        <f t="shared" si="2"/>
        <v>5</v>
      </c>
      <c r="J12">
        <f t="shared" si="3"/>
        <v>200000</v>
      </c>
      <c r="K12" s="23">
        <f t="shared" si="4"/>
        <v>4600000</v>
      </c>
      <c r="L12" s="1" t="str">
        <f t="shared" si="5"/>
        <v>L1</v>
      </c>
    </row>
    <row r="13" spans="1:12">
      <c r="A13">
        <v>10</v>
      </c>
      <c r="B13" t="s">
        <v>250</v>
      </c>
      <c r="C13" t="s">
        <v>251</v>
      </c>
      <c r="D13" t="s">
        <v>260</v>
      </c>
      <c r="E13" s="2">
        <v>39137</v>
      </c>
      <c r="F13" s="2">
        <v>39167</v>
      </c>
      <c r="G13" s="22">
        <f t="shared" si="0"/>
        <v>4</v>
      </c>
      <c r="H13">
        <f t="shared" si="1"/>
        <v>1000000</v>
      </c>
      <c r="I13" s="22">
        <f t="shared" si="2"/>
        <v>2</v>
      </c>
      <c r="J13">
        <f t="shared" si="3"/>
        <v>200000</v>
      </c>
      <c r="K13" s="23">
        <f t="shared" si="4"/>
        <v>4000000</v>
      </c>
      <c r="L13" s="1" t="str">
        <f t="shared" si="5"/>
        <v>L3</v>
      </c>
    </row>
    <row r="15" spans="1:12">
      <c r="B15" t="s">
        <v>262</v>
      </c>
      <c r="C15" t="s">
        <v>239</v>
      </c>
      <c r="D15" t="s">
        <v>241</v>
      </c>
      <c r="E15" t="s">
        <v>266</v>
      </c>
    </row>
    <row r="16" spans="1:12">
      <c r="B16" t="s">
        <v>263</v>
      </c>
      <c r="C16">
        <v>1000000</v>
      </c>
      <c r="D16">
        <v>200000</v>
      </c>
      <c r="E16" s="24">
        <f>SUMIF($L$4:$L$13,B16,$K$4:$K$13)</f>
        <v>14850000</v>
      </c>
    </row>
    <row r="17" spans="2:5">
      <c r="B17" t="s">
        <v>264</v>
      </c>
      <c r="C17">
        <v>900000</v>
      </c>
      <c r="D17">
        <v>180000</v>
      </c>
      <c r="E17" s="24">
        <f>SUMIF($L$4:$L$13,B17,$K$4:$K$13)</f>
        <v>10710000</v>
      </c>
    </row>
    <row r="18" spans="2:5">
      <c r="B18" t="s">
        <v>265</v>
      </c>
      <c r="C18">
        <v>800000</v>
      </c>
      <c r="D18">
        <v>160000</v>
      </c>
      <c r="E18" s="24">
        <f>SUMIF($L$4:$L$13,B18,$K$4:$K$13)</f>
        <v>10960000</v>
      </c>
    </row>
    <row r="19" spans="2:5">
      <c r="B19" t="s">
        <v>267</v>
      </c>
      <c r="C19">
        <v>700000</v>
      </c>
      <c r="D19">
        <v>130000</v>
      </c>
      <c r="E19" s="24">
        <f>SUMIF($L$4:$L$13,B19,$K$4:$K$13)</f>
        <v>8062500</v>
      </c>
    </row>
  </sheetData>
  <sheetProtection password="CADB" sheet="1" objects="1" scenarios="1"/>
  <mergeCells count="1">
    <mergeCell ref="A2:K2"/>
  </mergeCells>
  <phoneticPr fontId="0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sqref="A1:XFD1048576"/>
    </sheetView>
  </sheetViews>
  <sheetFormatPr defaultRowHeight="15.75"/>
  <cols>
    <col min="8" max="8" width="7.125" customWidth="1"/>
    <col min="9" max="9" width="9.875" customWidth="1"/>
    <col min="11" max="11" width="11.375" customWidth="1"/>
    <col min="12" max="12" width="12.875" customWidth="1"/>
  </cols>
  <sheetData>
    <row r="1" spans="1:10">
      <c r="A1" t="s">
        <v>415</v>
      </c>
    </row>
    <row r="2" spans="1:10">
      <c r="A2" s="45" t="s">
        <v>268</v>
      </c>
      <c r="B2" s="45"/>
      <c r="C2" s="45"/>
      <c r="D2" s="45"/>
      <c r="E2" s="45"/>
      <c r="F2" s="45"/>
      <c r="G2" s="45"/>
      <c r="H2" s="1"/>
    </row>
    <row r="3" spans="1:10" ht="31.5">
      <c r="A3" s="1" t="s">
        <v>1</v>
      </c>
      <c r="B3" s="1" t="s">
        <v>269</v>
      </c>
      <c r="C3" s="1" t="s">
        <v>277</v>
      </c>
      <c r="D3" s="1" t="s">
        <v>278</v>
      </c>
      <c r="E3" s="5" t="s">
        <v>279</v>
      </c>
      <c r="F3" s="1" t="s">
        <v>280</v>
      </c>
      <c r="G3" s="1" t="s">
        <v>281</v>
      </c>
      <c r="H3" s="1"/>
      <c r="I3" s="25" t="s">
        <v>269</v>
      </c>
      <c r="J3" s="25" t="s">
        <v>277</v>
      </c>
    </row>
    <row r="4" spans="1:10">
      <c r="A4">
        <v>1</v>
      </c>
      <c r="B4" t="s">
        <v>270</v>
      </c>
      <c r="C4" t="str">
        <f t="shared" ref="C4:C12" si="0">VLOOKUP(LEFT(B4,2),$A$17:$D$20,2,0)</f>
        <v>Đà Nẵng</v>
      </c>
      <c r="D4">
        <f>VLOOKUP(LEFT(B4,2),$A$16:$D$20,IF(RIGHT(B4,2)="TN",3,4),0)</f>
        <v>1200000</v>
      </c>
      <c r="E4">
        <v>40</v>
      </c>
      <c r="F4">
        <f>E4*IF(E4&gt;20,0.3%*D4,0%*D4)</f>
        <v>144000</v>
      </c>
      <c r="G4">
        <f>IF(MID(B4,4,1)="2",2*D4,D4)*IF(AND(MID(B4,4,1)="2",LEFT(B4,2)="hn"),85%,100%)+F4</f>
        <v>2544000</v>
      </c>
      <c r="I4" s="26" t="s">
        <v>397</v>
      </c>
      <c r="J4" s="26" t="s">
        <v>284</v>
      </c>
    </row>
    <row r="5" spans="1:10">
      <c r="A5">
        <v>2</v>
      </c>
      <c r="B5" t="s">
        <v>271</v>
      </c>
      <c r="C5" t="str">
        <f t="shared" si="0"/>
        <v>Hà Nội</v>
      </c>
      <c r="D5">
        <f t="shared" ref="D5:D12" si="1">VLOOKUP(LEFT(B5,2),$A$16:$D$20,IF(RIGHT(B5,2)="TN",3,4),0)</f>
        <v>1300000</v>
      </c>
      <c r="E5">
        <v>30</v>
      </c>
      <c r="F5">
        <f t="shared" ref="F5:F12" si="2">E5*IF(E5&gt;=20,0.3%*D5,0%*D5)</f>
        <v>117000</v>
      </c>
      <c r="G5">
        <f t="shared" ref="G5:G12" si="3">IF(MID(B5,4,1)="2",2*D5,D5)*IF(AND(MID(B5,4,1)="2",LEFT(B5,2)="hn"),85%,100%)+F5</f>
        <v>1417000</v>
      </c>
      <c r="I5" s="47">
        <f>DCOUNT($A$3:$G$12,4,$I$3:$J$4)</f>
        <v>1</v>
      </c>
      <c r="J5" s="47"/>
    </row>
    <row r="6" spans="1:10">
      <c r="A6">
        <v>3</v>
      </c>
      <c r="B6" t="s">
        <v>272</v>
      </c>
      <c r="C6" t="str">
        <f t="shared" si="0"/>
        <v>Hà Nội</v>
      </c>
      <c r="D6">
        <f t="shared" si="1"/>
        <v>1600000</v>
      </c>
      <c r="E6">
        <v>15</v>
      </c>
      <c r="F6">
        <f t="shared" si="2"/>
        <v>0</v>
      </c>
      <c r="G6">
        <f t="shared" si="3"/>
        <v>2720000</v>
      </c>
    </row>
    <row r="7" spans="1:10">
      <c r="A7">
        <v>4</v>
      </c>
      <c r="B7" t="s">
        <v>273</v>
      </c>
      <c r="C7" t="str">
        <f t="shared" si="0"/>
        <v>Phú Quốc</v>
      </c>
      <c r="D7">
        <f t="shared" si="1"/>
        <v>700000</v>
      </c>
      <c r="E7">
        <v>20</v>
      </c>
      <c r="F7">
        <f t="shared" si="2"/>
        <v>42000</v>
      </c>
      <c r="G7">
        <f t="shared" si="3"/>
        <v>742000</v>
      </c>
      <c r="I7" s="25" t="s">
        <v>269</v>
      </c>
    </row>
    <row r="8" spans="1:10">
      <c r="A8">
        <v>5</v>
      </c>
      <c r="B8" t="s">
        <v>274</v>
      </c>
      <c r="C8" t="str">
        <f t="shared" si="0"/>
        <v>Sài Gòn</v>
      </c>
      <c r="D8">
        <f t="shared" si="1"/>
        <v>600000</v>
      </c>
      <c r="E8">
        <v>35</v>
      </c>
      <c r="F8">
        <f t="shared" si="2"/>
        <v>63000</v>
      </c>
      <c r="G8">
        <f t="shared" si="3"/>
        <v>663000</v>
      </c>
      <c r="I8" s="26" t="s">
        <v>398</v>
      </c>
    </row>
    <row r="9" spans="1:10">
      <c r="A9">
        <v>6</v>
      </c>
      <c r="B9" t="s">
        <v>275</v>
      </c>
      <c r="C9" t="str">
        <f t="shared" si="0"/>
        <v>Phú Quốc</v>
      </c>
      <c r="D9">
        <f t="shared" si="1"/>
        <v>900000</v>
      </c>
      <c r="E9">
        <v>18</v>
      </c>
      <c r="F9">
        <f t="shared" si="2"/>
        <v>0</v>
      </c>
      <c r="G9">
        <f t="shared" si="3"/>
        <v>1800000</v>
      </c>
    </row>
    <row r="10" spans="1:10">
      <c r="A10">
        <v>7</v>
      </c>
      <c r="B10" t="s">
        <v>276</v>
      </c>
      <c r="C10" t="str">
        <f t="shared" si="0"/>
        <v>Sài Gòn</v>
      </c>
      <c r="D10">
        <f t="shared" si="1"/>
        <v>800000</v>
      </c>
      <c r="E10">
        <v>24</v>
      </c>
      <c r="F10">
        <f t="shared" si="2"/>
        <v>57600</v>
      </c>
      <c r="G10">
        <f t="shared" si="3"/>
        <v>1657600</v>
      </c>
      <c r="I10" s="23">
        <f>DSUM($A$3:$G$12,7,$I$7:$I$8)</f>
        <v>4897500</v>
      </c>
    </row>
    <row r="11" spans="1:10">
      <c r="A11">
        <v>8</v>
      </c>
      <c r="B11" t="s">
        <v>399</v>
      </c>
      <c r="C11" t="str">
        <f t="shared" si="0"/>
        <v>Hà Nội</v>
      </c>
      <c r="D11">
        <f t="shared" si="1"/>
        <v>1300000</v>
      </c>
      <c r="E11">
        <v>45</v>
      </c>
      <c r="F11">
        <f t="shared" si="2"/>
        <v>175500</v>
      </c>
      <c r="G11">
        <f t="shared" si="3"/>
        <v>1475500</v>
      </c>
    </row>
    <row r="12" spans="1:10">
      <c r="A12">
        <v>9</v>
      </c>
      <c r="B12" t="s">
        <v>274</v>
      </c>
      <c r="C12" t="str">
        <f t="shared" si="0"/>
        <v>Sài Gòn</v>
      </c>
      <c r="D12">
        <f t="shared" si="1"/>
        <v>600000</v>
      </c>
      <c r="E12">
        <v>19</v>
      </c>
      <c r="F12">
        <f t="shared" si="2"/>
        <v>0</v>
      </c>
      <c r="G12">
        <f t="shared" si="3"/>
        <v>600000</v>
      </c>
    </row>
    <row r="13" spans="1:10">
      <c r="A13">
        <v>10</v>
      </c>
      <c r="B13" s="45" t="s">
        <v>15</v>
      </c>
      <c r="C13" s="45"/>
      <c r="D13" s="45"/>
    </row>
    <row r="15" spans="1:10">
      <c r="A15" s="1"/>
      <c r="B15" s="1"/>
    </row>
    <row r="16" spans="1:10" ht="63">
      <c r="A16" s="1" t="s">
        <v>269</v>
      </c>
      <c r="B16" s="1" t="s">
        <v>277</v>
      </c>
      <c r="C16" s="5" t="s">
        <v>283</v>
      </c>
      <c r="D16" s="5" t="s">
        <v>282</v>
      </c>
    </row>
    <row r="17" spans="1:4">
      <c r="A17" t="s">
        <v>285</v>
      </c>
      <c r="B17" t="s">
        <v>284</v>
      </c>
      <c r="C17">
        <v>1300000</v>
      </c>
      <c r="D17">
        <v>1600000</v>
      </c>
    </row>
    <row r="18" spans="1:4">
      <c r="A18" t="s">
        <v>287</v>
      </c>
      <c r="B18" t="s">
        <v>286</v>
      </c>
      <c r="C18">
        <v>900000</v>
      </c>
      <c r="D18">
        <v>1200000</v>
      </c>
    </row>
    <row r="19" spans="1:4">
      <c r="A19" t="s">
        <v>288</v>
      </c>
      <c r="B19" t="s">
        <v>290</v>
      </c>
      <c r="C19">
        <v>700000</v>
      </c>
      <c r="D19">
        <v>900000</v>
      </c>
    </row>
    <row r="20" spans="1:4">
      <c r="A20" t="s">
        <v>289</v>
      </c>
      <c r="B20" t="s">
        <v>291</v>
      </c>
      <c r="C20">
        <v>600000</v>
      </c>
      <c r="D20">
        <v>800000</v>
      </c>
    </row>
  </sheetData>
  <sheetProtection password="CADB" sheet="1" objects="1" scenarios="1"/>
  <mergeCells count="3">
    <mergeCell ref="A2:G2"/>
    <mergeCell ref="B13:D13"/>
    <mergeCell ref="I5:J5"/>
  </mergeCells>
  <phoneticPr fontId="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selection sqref="A1:XFD1048576"/>
    </sheetView>
  </sheetViews>
  <sheetFormatPr defaultRowHeight="15.75"/>
  <cols>
    <col min="1" max="2" width="9.875" bestFit="1" customWidth="1"/>
  </cols>
  <sheetData>
    <row r="1" spans="1:9">
      <c r="A1" t="s">
        <v>415</v>
      </c>
    </row>
    <row r="2" spans="1:9">
      <c r="A2" s="45" t="s">
        <v>292</v>
      </c>
      <c r="B2" s="45"/>
      <c r="C2" s="45"/>
      <c r="D2" s="45"/>
      <c r="E2" s="45"/>
      <c r="F2" s="45"/>
      <c r="G2" s="45"/>
      <c r="H2" s="45"/>
      <c r="I2" s="45"/>
    </row>
    <row r="3" spans="1:9" ht="31.5">
      <c r="A3" t="s">
        <v>240</v>
      </c>
      <c r="B3" s="4" t="s">
        <v>293</v>
      </c>
      <c r="C3" t="s">
        <v>294</v>
      </c>
      <c r="D3" t="s">
        <v>295</v>
      </c>
      <c r="E3" t="s">
        <v>296</v>
      </c>
      <c r="F3" t="s">
        <v>297</v>
      </c>
      <c r="G3" t="s">
        <v>128</v>
      </c>
      <c r="H3" t="s">
        <v>298</v>
      </c>
      <c r="I3" t="s">
        <v>178</v>
      </c>
    </row>
    <row r="4" spans="1:9">
      <c r="A4" s="2">
        <v>39083</v>
      </c>
      <c r="B4" s="27">
        <v>73849011</v>
      </c>
      <c r="C4" t="str">
        <f>VLOOKUP(VALUE(LEFT(B4,2)),$A$15:$C$19,2,0)</f>
        <v>Tiền Giang</v>
      </c>
      <c r="D4">
        <f>VLOOKUP(VALUE(LEFT(B4,2)),$A$15:$C$19,3,0)</f>
        <v>900</v>
      </c>
      <c r="E4" s="20">
        <v>0.24930555555555556</v>
      </c>
      <c r="F4" s="2" t="s">
        <v>401</v>
      </c>
      <c r="G4">
        <f>IF(VALUE(RIGHT(F4,2))&gt;0,VALUE(LEFT(F4,2)+1),VALUE(LEFT(F4,2)))*D4</f>
        <v>2700</v>
      </c>
      <c r="H4">
        <f>IF(OR(HOUR(E4)&lt;=6,HOUR(E4)&gt;=22),90%,100%)*G4</f>
        <v>2430</v>
      </c>
      <c r="I4" t="str">
        <f t="shared" ref="I4:I11" si="0">IF(OR(HOUR(E4)&lt;=6,HOUR(E4)&gt;=22),"Giờ rỗi","")</f>
        <v>Giờ rỗi</v>
      </c>
    </row>
    <row r="5" spans="1:9">
      <c r="A5" s="2">
        <v>39085</v>
      </c>
      <c r="B5" s="27">
        <v>90908274</v>
      </c>
      <c r="C5" t="str">
        <f t="shared" ref="C5:C11" si="1">VLOOKUP(VALUE(LEFT(B5,2)),$A$15:$C$19,2,0)</f>
        <v>GMS</v>
      </c>
      <c r="D5">
        <f t="shared" ref="D5:D11" si="2">VLOOKUP(VALUE(LEFT(B5,2)),$A$15:$C$19,3,0)</f>
        <v>2000</v>
      </c>
      <c r="E5" s="20">
        <v>0.52083333333333337</v>
      </c>
      <c r="F5" t="s">
        <v>299</v>
      </c>
      <c r="G5">
        <f t="shared" ref="G5:G11" si="3">IF(VALUE(RIGHT(F5,2))&gt;0,VALUE(LEFT(F5,2)+1),VALUE(LEFT(F5,2)))*D5</f>
        <v>4000</v>
      </c>
      <c r="H5">
        <f t="shared" ref="H5:H11" si="4">IF(OR(HOUR(E5)&lt;=6,HOUR(E5)&gt;=22),90%,100%)*G5</f>
        <v>4000</v>
      </c>
      <c r="I5" t="str">
        <f t="shared" si="0"/>
        <v/>
      </c>
    </row>
    <row r="6" spans="1:9">
      <c r="A6" s="2">
        <v>39086</v>
      </c>
      <c r="B6" s="27">
        <v>90908274</v>
      </c>
      <c r="C6" t="str">
        <f t="shared" si="1"/>
        <v>GMS</v>
      </c>
      <c r="D6">
        <f t="shared" si="2"/>
        <v>2000</v>
      </c>
      <c r="E6" s="20">
        <v>0.32291666666666669</v>
      </c>
      <c r="F6" t="s">
        <v>300</v>
      </c>
      <c r="G6">
        <f t="shared" si="3"/>
        <v>22000</v>
      </c>
      <c r="H6">
        <f t="shared" si="4"/>
        <v>22000</v>
      </c>
      <c r="I6" t="str">
        <f t="shared" si="0"/>
        <v/>
      </c>
    </row>
    <row r="7" spans="1:9">
      <c r="A7" s="2">
        <v>39088</v>
      </c>
      <c r="B7" s="27">
        <v>73849011</v>
      </c>
      <c r="C7" t="str">
        <f t="shared" si="1"/>
        <v>Tiền Giang</v>
      </c>
      <c r="D7">
        <f t="shared" si="2"/>
        <v>900</v>
      </c>
      <c r="E7" s="20">
        <v>0.8881944444444444</v>
      </c>
      <c r="F7" t="s">
        <v>301</v>
      </c>
      <c r="G7">
        <f t="shared" si="3"/>
        <v>3600</v>
      </c>
      <c r="H7">
        <f t="shared" si="4"/>
        <v>3600</v>
      </c>
      <c r="I7" t="str">
        <f t="shared" si="0"/>
        <v/>
      </c>
    </row>
    <row r="8" spans="1:9">
      <c r="A8" s="2">
        <v>39092</v>
      </c>
      <c r="B8" s="27">
        <v>62832128</v>
      </c>
      <c r="C8" t="str">
        <f t="shared" si="1"/>
        <v>Bình Thuận</v>
      </c>
      <c r="D8">
        <f t="shared" si="2"/>
        <v>1300</v>
      </c>
      <c r="E8" s="20">
        <v>0.92361111111111116</v>
      </c>
      <c r="F8" t="s">
        <v>302</v>
      </c>
      <c r="G8">
        <f t="shared" si="3"/>
        <v>3900</v>
      </c>
      <c r="H8">
        <f t="shared" si="4"/>
        <v>3510</v>
      </c>
      <c r="I8" t="str">
        <f t="shared" si="0"/>
        <v>Giờ rỗi</v>
      </c>
    </row>
    <row r="9" spans="1:9">
      <c r="A9" s="2">
        <v>39092</v>
      </c>
      <c r="B9" s="27">
        <v>75879005</v>
      </c>
      <c r="C9" t="str">
        <f t="shared" si="1"/>
        <v>Bến Tre</v>
      </c>
      <c r="D9">
        <f t="shared" si="2"/>
        <v>800</v>
      </c>
      <c r="E9" s="20">
        <v>0.96875</v>
      </c>
      <c r="F9" t="s">
        <v>303</v>
      </c>
      <c r="G9">
        <f t="shared" si="3"/>
        <v>4000</v>
      </c>
      <c r="H9">
        <f t="shared" si="4"/>
        <v>3600</v>
      </c>
      <c r="I9" t="str">
        <f>IF(OR(HOUR(E9)&lt;=6,HOUR(E9)&gt;=22),"Giờ rỗi","")</f>
        <v>Giờ rỗi</v>
      </c>
    </row>
    <row r="10" spans="1:9">
      <c r="A10" s="2">
        <v>39104</v>
      </c>
      <c r="B10" s="27">
        <v>61832128</v>
      </c>
      <c r="C10" t="str">
        <f t="shared" si="1"/>
        <v>Đồng Nai</v>
      </c>
      <c r="D10">
        <f t="shared" si="2"/>
        <v>800</v>
      </c>
      <c r="E10" s="20">
        <v>0.3923611111111111</v>
      </c>
      <c r="F10" t="s">
        <v>304</v>
      </c>
      <c r="G10">
        <f t="shared" si="3"/>
        <v>3200</v>
      </c>
      <c r="H10">
        <f t="shared" si="4"/>
        <v>3200</v>
      </c>
      <c r="I10" t="str">
        <f t="shared" si="0"/>
        <v/>
      </c>
    </row>
    <row r="11" spans="1:9">
      <c r="A11" s="2">
        <v>39111</v>
      </c>
      <c r="B11" s="27">
        <v>90905205</v>
      </c>
      <c r="C11" t="str">
        <f t="shared" si="1"/>
        <v>GMS</v>
      </c>
      <c r="D11">
        <f t="shared" si="2"/>
        <v>2000</v>
      </c>
      <c r="E11" s="20">
        <v>0.18263888888888891</v>
      </c>
      <c r="F11" t="s">
        <v>305</v>
      </c>
      <c r="G11">
        <f t="shared" si="3"/>
        <v>10000</v>
      </c>
      <c r="H11">
        <f t="shared" si="4"/>
        <v>9000</v>
      </c>
      <c r="I11" t="str">
        <f t="shared" si="0"/>
        <v>Giờ rỗi</v>
      </c>
    </row>
    <row r="14" spans="1:9">
      <c r="A14" t="s">
        <v>400</v>
      </c>
      <c r="B14" t="s">
        <v>294</v>
      </c>
      <c r="C14" t="s">
        <v>295</v>
      </c>
    </row>
    <row r="15" spans="1:9">
      <c r="A15" s="28">
        <v>62</v>
      </c>
      <c r="B15" t="s">
        <v>306</v>
      </c>
      <c r="C15">
        <v>1300</v>
      </c>
    </row>
    <row r="16" spans="1:9">
      <c r="A16" s="28">
        <v>73</v>
      </c>
      <c r="B16" t="s">
        <v>307</v>
      </c>
      <c r="C16">
        <v>900</v>
      </c>
    </row>
    <row r="17" spans="1:3">
      <c r="A17" s="28">
        <v>61</v>
      </c>
      <c r="B17" t="s">
        <v>308</v>
      </c>
      <c r="C17">
        <v>800</v>
      </c>
    </row>
    <row r="18" spans="1:3">
      <c r="A18" s="28">
        <v>75</v>
      </c>
      <c r="B18" t="s">
        <v>309</v>
      </c>
      <c r="C18">
        <v>800</v>
      </c>
    </row>
    <row r="19" spans="1:3">
      <c r="A19" s="28">
        <v>90</v>
      </c>
      <c r="B19" t="s">
        <v>310</v>
      </c>
      <c r="C19">
        <v>2000</v>
      </c>
    </row>
  </sheetData>
  <sheetProtection password="CADB" sheet="1" objects="1" scenarios="1"/>
  <mergeCells count="1">
    <mergeCell ref="A2:I2"/>
  </mergeCells>
  <phoneticPr fontId="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P29"/>
  <sheetViews>
    <sheetView workbookViewId="0">
      <selection sqref="A1:XFD1048576"/>
    </sheetView>
  </sheetViews>
  <sheetFormatPr defaultRowHeight="15.75"/>
  <cols>
    <col min="1" max="1" width="5.875" customWidth="1"/>
    <col min="2" max="2" width="12" customWidth="1"/>
    <col min="3" max="3" width="9.875" bestFit="1" customWidth="1"/>
    <col min="9" max="9" width="9.875" bestFit="1" customWidth="1"/>
  </cols>
  <sheetData>
    <row r="1" spans="1:16">
      <c r="A1" t="s">
        <v>415</v>
      </c>
    </row>
    <row r="2" spans="1:16">
      <c r="A2" s="45"/>
      <c r="B2" s="45"/>
      <c r="C2" s="45"/>
      <c r="D2" s="45"/>
      <c r="E2" s="45"/>
      <c r="F2" s="45"/>
      <c r="G2" s="45"/>
    </row>
    <row r="4" spans="1:16" ht="44.25" customHeight="1">
      <c r="A4" s="43" t="s">
        <v>1</v>
      </c>
      <c r="B4" s="44" t="s">
        <v>312</v>
      </c>
      <c r="C4" s="43" t="s">
        <v>240</v>
      </c>
      <c r="D4" s="44" t="s">
        <v>311</v>
      </c>
      <c r="E4" s="44" t="s">
        <v>313</v>
      </c>
      <c r="F4" s="44" t="s">
        <v>125</v>
      </c>
      <c r="G4" s="50" t="s">
        <v>314</v>
      </c>
      <c r="H4" s="50"/>
      <c r="I4" s="50"/>
    </row>
    <row r="5" spans="1:16">
      <c r="A5">
        <v>1</v>
      </c>
      <c r="B5" t="s">
        <v>315</v>
      </c>
      <c r="C5" s="2">
        <v>38722</v>
      </c>
      <c r="D5" t="s">
        <v>319</v>
      </c>
      <c r="E5" t="s">
        <v>160</v>
      </c>
      <c r="F5">
        <v>200</v>
      </c>
      <c r="G5">
        <f t="shared" ref="G5:G12" si="0">INDEX($B$16:$E$20,MATCH(D5,$A$16:$A$20,0),MATCH(E5,$B$15:$E$15,0))</f>
        <v>300</v>
      </c>
      <c r="H5">
        <f t="shared" ref="H5:H12" si="1">VLOOKUP(D5,$A$16:$E$20,IF(E5="a",2,IF(E5="b",3,IF(E5="c",4,5))),0)</f>
        <v>300</v>
      </c>
      <c r="I5">
        <f t="shared" ref="I5:I12" si="2">HLOOKUP(E5,$B$15:$E$20,IF(D5="sp1",2,IF(D5="sp2",3,IF(D5="sp3",4,IF(D5="sp4",5,6)))),0)</f>
        <v>300</v>
      </c>
      <c r="N5">
        <f t="shared" ref="N5:N12" si="3">MATCH(E5,$B$15:$E$15,0)</f>
        <v>2</v>
      </c>
      <c r="O5">
        <f t="shared" ref="O5:O12" si="4">MATCH(D5,$A$16:$A$20,0)</f>
        <v>1</v>
      </c>
      <c r="P5">
        <f t="shared" ref="P5:P12" si="5">INDEX($B$16:$E$20,MATCH(D5,$A$16:$A$20,0),MATCH(E5,$B$15:$E$15,0))</f>
        <v>300</v>
      </c>
    </row>
    <row r="6" spans="1:16">
      <c r="A6">
        <v>2</v>
      </c>
      <c r="B6" t="s">
        <v>315</v>
      </c>
      <c r="C6" s="2">
        <v>38724</v>
      </c>
      <c r="D6" t="s">
        <v>319</v>
      </c>
      <c r="E6" t="s">
        <v>322</v>
      </c>
      <c r="F6">
        <v>150</v>
      </c>
      <c r="G6">
        <f t="shared" si="0"/>
        <v>350</v>
      </c>
      <c r="H6">
        <f t="shared" si="1"/>
        <v>350</v>
      </c>
      <c r="I6">
        <f t="shared" si="2"/>
        <v>350</v>
      </c>
      <c r="N6">
        <f t="shared" si="3"/>
        <v>1</v>
      </c>
      <c r="O6">
        <f t="shared" si="4"/>
        <v>1</v>
      </c>
      <c r="P6">
        <f t="shared" si="5"/>
        <v>350</v>
      </c>
    </row>
    <row r="7" spans="1:16">
      <c r="A7">
        <v>3</v>
      </c>
      <c r="B7" t="s">
        <v>316</v>
      </c>
      <c r="C7" s="2">
        <v>38722</v>
      </c>
      <c r="D7" t="s">
        <v>319</v>
      </c>
      <c r="E7" t="s">
        <v>322</v>
      </c>
      <c r="F7">
        <v>120</v>
      </c>
      <c r="G7">
        <f t="shared" si="0"/>
        <v>350</v>
      </c>
      <c r="H7">
        <f t="shared" si="1"/>
        <v>350</v>
      </c>
      <c r="I7">
        <f t="shared" si="2"/>
        <v>350</v>
      </c>
      <c r="N7">
        <f t="shared" si="3"/>
        <v>1</v>
      </c>
      <c r="O7">
        <f t="shared" si="4"/>
        <v>1</v>
      </c>
      <c r="P7">
        <f t="shared" si="5"/>
        <v>350</v>
      </c>
    </row>
    <row r="8" spans="1:16">
      <c r="A8">
        <v>4</v>
      </c>
      <c r="B8" t="s">
        <v>316</v>
      </c>
      <c r="C8" s="2">
        <v>38725</v>
      </c>
      <c r="D8" t="s">
        <v>319</v>
      </c>
      <c r="E8" t="s">
        <v>160</v>
      </c>
      <c r="F8">
        <v>250</v>
      </c>
      <c r="G8">
        <f t="shared" si="0"/>
        <v>300</v>
      </c>
      <c r="H8">
        <f t="shared" si="1"/>
        <v>300</v>
      </c>
      <c r="I8">
        <f t="shared" si="2"/>
        <v>300</v>
      </c>
      <c r="N8">
        <f t="shared" si="3"/>
        <v>2</v>
      </c>
      <c r="O8">
        <f t="shared" si="4"/>
        <v>1</v>
      </c>
      <c r="P8">
        <f t="shared" si="5"/>
        <v>300</v>
      </c>
    </row>
    <row r="9" spans="1:16">
      <c r="A9">
        <v>5</v>
      </c>
      <c r="B9" t="s">
        <v>316</v>
      </c>
      <c r="C9" s="2">
        <v>38726</v>
      </c>
      <c r="D9" t="s">
        <v>320</v>
      </c>
      <c r="E9" t="s">
        <v>323</v>
      </c>
      <c r="F9">
        <v>150</v>
      </c>
      <c r="G9">
        <f t="shared" si="0"/>
        <v>250</v>
      </c>
      <c r="H9">
        <f t="shared" si="1"/>
        <v>250</v>
      </c>
      <c r="I9">
        <f t="shared" si="2"/>
        <v>250</v>
      </c>
      <c r="N9">
        <f t="shared" si="3"/>
        <v>3</v>
      </c>
      <c r="O9">
        <f t="shared" si="4"/>
        <v>2</v>
      </c>
      <c r="P9">
        <f t="shared" si="5"/>
        <v>250</v>
      </c>
    </row>
    <row r="10" spans="1:16">
      <c r="A10">
        <v>6</v>
      </c>
      <c r="B10" t="s">
        <v>317</v>
      </c>
      <c r="C10" s="2">
        <v>38728</v>
      </c>
      <c r="D10" t="s">
        <v>320</v>
      </c>
      <c r="E10" t="s">
        <v>160</v>
      </c>
      <c r="F10">
        <v>90</v>
      </c>
      <c r="G10">
        <f t="shared" si="0"/>
        <v>260</v>
      </c>
      <c r="H10">
        <f t="shared" si="1"/>
        <v>260</v>
      </c>
      <c r="I10">
        <f t="shared" si="2"/>
        <v>260</v>
      </c>
      <c r="N10">
        <f t="shared" si="3"/>
        <v>2</v>
      </c>
      <c r="O10">
        <f t="shared" si="4"/>
        <v>2</v>
      </c>
      <c r="P10">
        <f t="shared" si="5"/>
        <v>260</v>
      </c>
    </row>
    <row r="11" spans="1:16">
      <c r="A11">
        <v>7</v>
      </c>
      <c r="B11" t="s">
        <v>317</v>
      </c>
      <c r="C11" s="2">
        <v>38730</v>
      </c>
      <c r="D11" t="s">
        <v>321</v>
      </c>
      <c r="E11" t="s">
        <v>323</v>
      </c>
      <c r="F11">
        <v>115</v>
      </c>
      <c r="G11">
        <f t="shared" si="0"/>
        <v>230</v>
      </c>
      <c r="H11">
        <f t="shared" si="1"/>
        <v>230</v>
      </c>
      <c r="I11">
        <f t="shared" si="2"/>
        <v>230</v>
      </c>
      <c r="N11">
        <f t="shared" si="3"/>
        <v>3</v>
      </c>
      <c r="O11">
        <f t="shared" si="4"/>
        <v>3</v>
      </c>
      <c r="P11">
        <f t="shared" si="5"/>
        <v>230</v>
      </c>
    </row>
    <row r="12" spans="1:16">
      <c r="A12">
        <v>8</v>
      </c>
      <c r="B12" t="s">
        <v>318</v>
      </c>
      <c r="C12" s="21">
        <v>42705</v>
      </c>
      <c r="D12" t="s">
        <v>319</v>
      </c>
      <c r="E12" t="s">
        <v>322</v>
      </c>
      <c r="F12">
        <v>140</v>
      </c>
      <c r="G12">
        <f t="shared" si="0"/>
        <v>350</v>
      </c>
      <c r="H12">
        <f t="shared" si="1"/>
        <v>350</v>
      </c>
      <c r="I12">
        <f t="shared" si="2"/>
        <v>350</v>
      </c>
      <c r="N12">
        <f t="shared" si="3"/>
        <v>1</v>
      </c>
      <c r="O12">
        <f t="shared" si="4"/>
        <v>1</v>
      </c>
      <c r="P12">
        <f t="shared" si="5"/>
        <v>350</v>
      </c>
    </row>
    <row r="14" spans="1:16" ht="16.5" thickBot="1">
      <c r="A14" s="42"/>
      <c r="B14" s="42"/>
      <c r="C14" s="42"/>
      <c r="D14" s="42"/>
      <c r="E14" s="42"/>
    </row>
    <row r="15" spans="1:16" ht="43.5" customHeight="1">
      <c r="A15" s="19"/>
      <c r="B15" s="19" t="s">
        <v>322</v>
      </c>
      <c r="C15" s="19" t="s">
        <v>160</v>
      </c>
      <c r="D15" s="19" t="s">
        <v>323</v>
      </c>
      <c r="E15" s="19" t="s">
        <v>161</v>
      </c>
      <c r="G15" s="29" t="s">
        <v>1</v>
      </c>
      <c r="H15" s="30" t="s">
        <v>312</v>
      </c>
      <c r="I15" s="40" t="s">
        <v>240</v>
      </c>
      <c r="J15" s="30" t="s">
        <v>311</v>
      </c>
      <c r="K15" s="30" t="s">
        <v>313</v>
      </c>
      <c r="L15" s="30" t="s">
        <v>125</v>
      </c>
      <c r="M15" s="41" t="s">
        <v>314</v>
      </c>
    </row>
    <row r="16" spans="1:16">
      <c r="A16" t="s">
        <v>319</v>
      </c>
      <c r="B16">
        <v>350</v>
      </c>
      <c r="C16">
        <v>300</v>
      </c>
      <c r="D16">
        <v>250</v>
      </c>
      <c r="E16">
        <v>200</v>
      </c>
      <c r="G16" s="31">
        <v>1</v>
      </c>
      <c r="H16" s="32" t="s">
        <v>315</v>
      </c>
      <c r="I16" s="33">
        <v>38722</v>
      </c>
      <c r="J16" s="32" t="s">
        <v>319</v>
      </c>
      <c r="K16" s="32" t="s">
        <v>160</v>
      </c>
      <c r="L16" s="32">
        <v>200</v>
      </c>
      <c r="M16" s="34">
        <f>INDEX($B$16:$E$20,MATCH(J16,$A$16:$A$20,0),MATCH(K16,$B$15:$E$15,0))</f>
        <v>300</v>
      </c>
    </row>
    <row r="17" spans="1:13">
      <c r="A17" t="s">
        <v>320</v>
      </c>
      <c r="B17">
        <v>270</v>
      </c>
      <c r="C17">
        <v>260</v>
      </c>
      <c r="D17">
        <v>250</v>
      </c>
      <c r="E17">
        <v>240</v>
      </c>
      <c r="G17" s="31">
        <v>2</v>
      </c>
      <c r="H17" s="32" t="s">
        <v>315</v>
      </c>
      <c r="I17" s="33">
        <v>38724</v>
      </c>
      <c r="J17" s="32" t="s">
        <v>319</v>
      </c>
      <c r="K17" s="32" t="s">
        <v>322</v>
      </c>
      <c r="L17" s="32">
        <v>150</v>
      </c>
      <c r="M17" s="34">
        <f>INDEX($B$16:$E$20,MATCH(J17,$A$16:$A$20,0),MATCH(K17,$B$15:$E$15,0))</f>
        <v>350</v>
      </c>
    </row>
    <row r="18" spans="1:13">
      <c r="A18" t="s">
        <v>321</v>
      </c>
      <c r="B18">
        <v>250</v>
      </c>
      <c r="C18">
        <v>240</v>
      </c>
      <c r="D18">
        <v>230</v>
      </c>
      <c r="E18">
        <v>220</v>
      </c>
      <c r="G18" s="35" t="s">
        <v>410</v>
      </c>
      <c r="H18" s="32"/>
      <c r="I18" s="33"/>
      <c r="J18" s="32"/>
      <c r="K18" s="32"/>
      <c r="L18" s="32"/>
      <c r="M18" s="34">
        <f>SUBTOTAL(9,M16:M17)</f>
        <v>650</v>
      </c>
    </row>
    <row r="19" spans="1:13">
      <c r="A19" t="s">
        <v>324</v>
      </c>
      <c r="B19">
        <v>500</v>
      </c>
      <c r="C19">
        <v>450</v>
      </c>
      <c r="D19">
        <v>400</v>
      </c>
      <c r="E19">
        <v>350</v>
      </c>
      <c r="G19" s="31">
        <v>3</v>
      </c>
      <c r="H19" s="32" t="s">
        <v>316</v>
      </c>
      <c r="I19" s="33">
        <v>38722</v>
      </c>
      <c r="J19" s="32" t="s">
        <v>319</v>
      </c>
      <c r="K19" s="32" t="s">
        <v>322</v>
      </c>
      <c r="L19" s="32">
        <v>120</v>
      </c>
      <c r="M19" s="34">
        <f>INDEX($B$16:$E$20,MATCH(J19,$A$16:$A$20,0),MATCH(K19,$B$15:$E$15,0))</f>
        <v>350</v>
      </c>
    </row>
    <row r="20" spans="1:13">
      <c r="A20" t="s">
        <v>325</v>
      </c>
      <c r="B20">
        <v>600</v>
      </c>
      <c r="C20">
        <v>570</v>
      </c>
      <c r="D20">
        <v>560</v>
      </c>
      <c r="E20">
        <v>550</v>
      </c>
      <c r="G20" s="31">
        <v>4</v>
      </c>
      <c r="H20" s="32" t="s">
        <v>316</v>
      </c>
      <c r="I20" s="33">
        <v>38725</v>
      </c>
      <c r="J20" s="32" t="s">
        <v>319</v>
      </c>
      <c r="K20" s="32" t="s">
        <v>160</v>
      </c>
      <c r="L20" s="32">
        <v>250</v>
      </c>
      <c r="M20" s="34">
        <f>INDEX($B$16:$E$20,MATCH(J20,$A$16:$A$20,0),MATCH(K20,$B$15:$E$15,0))</f>
        <v>300</v>
      </c>
    </row>
    <row r="21" spans="1:13">
      <c r="G21" s="31">
        <v>5</v>
      </c>
      <c r="H21" s="32" t="s">
        <v>316</v>
      </c>
      <c r="I21" s="33">
        <v>38726</v>
      </c>
      <c r="J21" s="32" t="s">
        <v>320</v>
      </c>
      <c r="K21" s="32" t="s">
        <v>323</v>
      </c>
      <c r="L21" s="32">
        <v>150</v>
      </c>
      <c r="M21" s="34">
        <f>INDEX($B$16:$E$20,MATCH(J21,$A$16:$A$20,0),MATCH(K21,$B$15:$E$15,0))</f>
        <v>250</v>
      </c>
    </row>
    <row r="22" spans="1:13">
      <c r="G22" s="51" t="s">
        <v>411</v>
      </c>
      <c r="H22" s="52"/>
      <c r="I22" s="33"/>
      <c r="J22" s="32"/>
      <c r="K22" s="32"/>
      <c r="L22" s="32"/>
      <c r="M22" s="34">
        <f>SUBTOTAL(9,M19:M21)</f>
        <v>900</v>
      </c>
    </row>
    <row r="23" spans="1:13">
      <c r="G23" s="31">
        <v>6</v>
      </c>
      <c r="H23" s="32" t="s">
        <v>317</v>
      </c>
      <c r="I23" s="33">
        <v>38728</v>
      </c>
      <c r="J23" s="32" t="s">
        <v>320</v>
      </c>
      <c r="K23" s="32" t="s">
        <v>160</v>
      </c>
      <c r="L23" s="32">
        <v>90</v>
      </c>
      <c r="M23" s="34">
        <f>INDEX($B$16:$E$20,MATCH(J23,$A$16:$A$20,0),MATCH(K23,$B$15:$E$15,0))</f>
        <v>260</v>
      </c>
    </row>
    <row r="24" spans="1:13">
      <c r="G24" s="31">
        <v>7</v>
      </c>
      <c r="H24" s="32" t="s">
        <v>317</v>
      </c>
      <c r="I24" s="33">
        <v>38730</v>
      </c>
      <c r="J24" s="32" t="s">
        <v>321</v>
      </c>
      <c r="K24" s="32" t="s">
        <v>323</v>
      </c>
      <c r="L24" s="32">
        <v>115</v>
      </c>
      <c r="M24" s="34">
        <f>INDEX($B$16:$E$20,MATCH(J24,$A$16:$A$20,0),MATCH(K24,$B$15:$E$15,0))</f>
        <v>230</v>
      </c>
    </row>
    <row r="25" spans="1:13">
      <c r="G25" s="51" t="s">
        <v>412</v>
      </c>
      <c r="H25" s="52"/>
      <c r="I25" s="33"/>
      <c r="J25" s="32"/>
      <c r="K25" s="32"/>
      <c r="L25" s="32"/>
      <c r="M25" s="34">
        <f>SUBTOTAL(9,M23:M24)</f>
        <v>490</v>
      </c>
    </row>
    <row r="26" spans="1:13">
      <c r="G26" s="31">
        <v>8</v>
      </c>
      <c r="H26" s="32" t="s">
        <v>318</v>
      </c>
      <c r="I26" s="33">
        <v>39052</v>
      </c>
      <c r="J26" s="32" t="s">
        <v>319</v>
      </c>
      <c r="K26" s="32" t="s">
        <v>322</v>
      </c>
      <c r="L26" s="32">
        <v>140</v>
      </c>
      <c r="M26" s="34">
        <f>INDEX($B$16:$E$20,MATCH(J26,$A$16:$A$20,0),MATCH(K26,$B$15:$E$15,0))</f>
        <v>350</v>
      </c>
    </row>
    <row r="27" spans="1:13">
      <c r="G27" s="51" t="s">
        <v>413</v>
      </c>
      <c r="H27" s="52"/>
      <c r="I27" s="33"/>
      <c r="J27" s="32"/>
      <c r="K27" s="32"/>
      <c r="L27" s="32"/>
      <c r="M27" s="34">
        <f>SUBTOTAL(9,M26:M26)</f>
        <v>350</v>
      </c>
    </row>
    <row r="28" spans="1:13" ht="16.5" thickBot="1">
      <c r="G28" s="48" t="s">
        <v>414</v>
      </c>
      <c r="H28" s="49"/>
      <c r="I28" s="38"/>
      <c r="J28" s="36"/>
      <c r="K28" s="36"/>
      <c r="L28" s="36"/>
      <c r="M28" s="37">
        <f>SUBTOTAL(9,M16:M26)</f>
        <v>2390</v>
      </c>
    </row>
    <row r="29" spans="1:13">
      <c r="G29" s="39"/>
      <c r="H29" s="39"/>
    </row>
  </sheetData>
  <sheetProtection password="CADB" sheet="1" objects="1" scenarios="1"/>
  <mergeCells count="6">
    <mergeCell ref="G28:H28"/>
    <mergeCell ref="G4:I4"/>
    <mergeCell ref="A2:G2"/>
    <mergeCell ref="G22:H22"/>
    <mergeCell ref="G25:H25"/>
    <mergeCell ref="G27:H27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sqref="A1:XFD1048576"/>
    </sheetView>
  </sheetViews>
  <sheetFormatPr defaultRowHeight="15.75"/>
  <cols>
    <col min="2" max="2" width="11.625" bestFit="1" customWidth="1"/>
    <col min="3" max="3" width="5.5" bestFit="1" customWidth="1"/>
    <col min="4" max="4" width="16.125" bestFit="1" customWidth="1"/>
    <col min="5" max="5" width="9.875" bestFit="1" customWidth="1"/>
    <col min="6" max="6" width="5.75" bestFit="1" customWidth="1"/>
    <col min="7" max="7" width="14" bestFit="1" customWidth="1"/>
  </cols>
  <sheetData>
    <row r="1" spans="1:9">
      <c r="A1" t="s">
        <v>415</v>
      </c>
    </row>
    <row r="2" spans="1:9">
      <c r="A2" s="45" t="s">
        <v>16</v>
      </c>
      <c r="B2" s="45"/>
      <c r="C2" s="45"/>
      <c r="D2" s="45"/>
      <c r="E2" s="45"/>
      <c r="F2" s="45"/>
      <c r="G2" s="45"/>
      <c r="H2" s="45"/>
      <c r="I2" s="45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 ht="31.5">
      <c r="A4" s="1"/>
      <c r="B4" s="1"/>
      <c r="C4" s="1" t="s">
        <v>36</v>
      </c>
      <c r="D4" s="6" t="s">
        <v>37</v>
      </c>
      <c r="E4" s="3">
        <v>450000</v>
      </c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t="s">
        <v>1</v>
      </c>
      <c r="B6" t="s">
        <v>17</v>
      </c>
      <c r="C6" t="s">
        <v>18</v>
      </c>
      <c r="D6" t="s">
        <v>38</v>
      </c>
      <c r="E6" t="s">
        <v>19</v>
      </c>
      <c r="F6" t="s">
        <v>20</v>
      </c>
      <c r="G6" t="s">
        <v>21</v>
      </c>
    </row>
    <row r="7" spans="1:9">
      <c r="A7">
        <v>1</v>
      </c>
      <c r="B7" t="s">
        <v>22</v>
      </c>
      <c r="C7" t="s">
        <v>29</v>
      </c>
      <c r="D7" t="str">
        <f t="shared" ref="D7:D13" si="0">B7&amp;""&amp;""&amp;C7</f>
        <v>Nguyễn VănTuấn</v>
      </c>
      <c r="E7" s="2">
        <v>27388</v>
      </c>
      <c r="F7">
        <v>4.0999999999999996</v>
      </c>
      <c r="G7" s="7">
        <f t="shared" ref="G7:G13" si="1">F7*$E$4</f>
        <v>1844999.9999999998</v>
      </c>
    </row>
    <row r="8" spans="1:9">
      <c r="A8">
        <v>2</v>
      </c>
      <c r="B8" t="s">
        <v>23</v>
      </c>
      <c r="C8" t="s">
        <v>30</v>
      </c>
      <c r="D8" t="str">
        <f t="shared" si="0"/>
        <v>Huỳnh TuấnAnh</v>
      </c>
      <c r="E8" s="2">
        <v>27647</v>
      </c>
      <c r="F8">
        <v>3.9</v>
      </c>
      <c r="G8" s="7">
        <f t="shared" si="1"/>
        <v>1755000</v>
      </c>
    </row>
    <row r="9" spans="1:9">
      <c r="A9">
        <v>3</v>
      </c>
      <c r="B9" t="s">
        <v>24</v>
      </c>
      <c r="C9" t="s">
        <v>31</v>
      </c>
      <c r="D9" t="str">
        <f t="shared" si="0"/>
        <v>Nguyễn MạnhTrung</v>
      </c>
      <c r="E9" s="2">
        <v>28086</v>
      </c>
      <c r="F9">
        <v>2.9</v>
      </c>
      <c r="G9" s="7">
        <f t="shared" si="1"/>
        <v>1305000</v>
      </c>
    </row>
    <row r="10" spans="1:9">
      <c r="A10">
        <v>4</v>
      </c>
      <c r="B10" t="s">
        <v>25</v>
      </c>
      <c r="C10" t="s">
        <v>32</v>
      </c>
      <c r="D10" t="str">
        <f t="shared" si="0"/>
        <v>Nguyễn GiaBảo</v>
      </c>
      <c r="E10" s="2">
        <v>27463</v>
      </c>
      <c r="F10">
        <v>2.7</v>
      </c>
      <c r="G10" s="7">
        <f t="shared" si="1"/>
        <v>1215000</v>
      </c>
    </row>
    <row r="11" spans="1:9">
      <c r="A11">
        <v>5</v>
      </c>
      <c r="B11" t="s">
        <v>26</v>
      </c>
      <c r="C11" t="s">
        <v>33</v>
      </c>
      <c r="D11" t="str">
        <f t="shared" si="0"/>
        <v>Vũ MinhThành</v>
      </c>
      <c r="E11" s="2">
        <v>31298</v>
      </c>
      <c r="F11">
        <v>2.7</v>
      </c>
      <c r="G11" s="7">
        <f t="shared" si="1"/>
        <v>1215000</v>
      </c>
    </row>
    <row r="12" spans="1:9">
      <c r="A12">
        <v>6</v>
      </c>
      <c r="B12" t="s">
        <v>27</v>
      </c>
      <c r="C12" t="s">
        <v>34</v>
      </c>
      <c r="D12" t="str">
        <f t="shared" si="0"/>
        <v>Đào Thị ThuHồng</v>
      </c>
      <c r="E12" s="2">
        <v>31851</v>
      </c>
      <c r="F12">
        <v>2.2000000000000002</v>
      </c>
      <c r="G12" s="7">
        <f t="shared" si="1"/>
        <v>990000.00000000012</v>
      </c>
    </row>
    <row r="13" spans="1:9">
      <c r="A13">
        <v>7</v>
      </c>
      <c r="B13" t="s">
        <v>28</v>
      </c>
      <c r="C13" t="s">
        <v>35</v>
      </c>
      <c r="D13" t="str">
        <f t="shared" si="0"/>
        <v>Huỳnh ThịThủy</v>
      </c>
      <c r="E13" s="2">
        <v>31797</v>
      </c>
      <c r="F13">
        <v>2.6</v>
      </c>
      <c r="G13" s="7">
        <f t="shared" si="1"/>
        <v>1170000</v>
      </c>
    </row>
  </sheetData>
  <sheetProtection password="CADB" sheet="1" objects="1" scenarios="1"/>
  <mergeCells count="1">
    <mergeCell ref="A2:I2"/>
  </mergeCells>
  <phoneticPr fontId="0" type="noConversion"/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selection sqref="A1:XFD1048576"/>
    </sheetView>
  </sheetViews>
  <sheetFormatPr defaultRowHeight="15.75"/>
  <cols>
    <col min="2" max="2" width="9.5" bestFit="1" customWidth="1"/>
    <col min="3" max="3" width="23.625" bestFit="1" customWidth="1"/>
    <col min="5" max="5" width="9.75" bestFit="1" customWidth="1"/>
    <col min="9" max="9" width="11.125" customWidth="1"/>
    <col min="10" max="10" width="12.375" customWidth="1"/>
    <col min="11" max="11" width="0" hidden="1" customWidth="1"/>
  </cols>
  <sheetData>
    <row r="1" spans="1:11">
      <c r="A1" t="s">
        <v>415</v>
      </c>
    </row>
    <row r="2" spans="1:11">
      <c r="A2" s="45" t="s">
        <v>326</v>
      </c>
      <c r="B2" s="45"/>
      <c r="C2" s="45"/>
      <c r="E2" s="45" t="s">
        <v>328</v>
      </c>
      <c r="F2" s="45"/>
      <c r="G2" s="45"/>
      <c r="H2" s="45"/>
      <c r="I2" s="45"/>
    </row>
    <row r="3" spans="1:11">
      <c r="A3" s="45" t="s">
        <v>327</v>
      </c>
      <c r="B3" s="45"/>
      <c r="C3" s="45"/>
      <c r="E3" s="45" t="s">
        <v>329</v>
      </c>
      <c r="F3" s="45"/>
      <c r="G3" s="45"/>
      <c r="H3" s="45"/>
      <c r="I3" s="45"/>
      <c r="J3" s="45"/>
    </row>
    <row r="4" spans="1:11">
      <c r="A4" s="45" t="str">
        <f>"---o0o---"</f>
        <v>---o0o---</v>
      </c>
      <c r="B4" s="45"/>
      <c r="C4" s="45"/>
      <c r="E4" s="45" t="str">
        <f>"---o0o---"</f>
        <v>---o0o---</v>
      </c>
      <c r="F4" s="45"/>
      <c r="G4" s="45"/>
      <c r="H4" s="45"/>
      <c r="I4" s="45"/>
      <c r="J4" s="45"/>
    </row>
    <row r="6" spans="1:11">
      <c r="A6" t="s">
        <v>1</v>
      </c>
      <c r="B6" t="s">
        <v>330</v>
      </c>
      <c r="C6" t="s">
        <v>331</v>
      </c>
      <c r="D6" t="s">
        <v>332</v>
      </c>
      <c r="E6" t="s">
        <v>333</v>
      </c>
      <c r="F6" t="s">
        <v>125</v>
      </c>
      <c r="G6" t="s">
        <v>126</v>
      </c>
      <c r="H6" t="s">
        <v>334</v>
      </c>
      <c r="I6" t="s">
        <v>242</v>
      </c>
      <c r="K6" t="s">
        <v>402</v>
      </c>
    </row>
    <row r="7" spans="1:11">
      <c r="A7">
        <v>1</v>
      </c>
      <c r="B7" t="s">
        <v>335</v>
      </c>
      <c r="C7" t="str">
        <f t="shared" ref="C7:C12" si="0">IF(AND(LEFT(B7)="v",MID(B7,6,1)="a"),"Hàng viet nam chất lượng cao",IF(AND(LEFT(B7)="v",MID(B7,6,1)="b"),"Hàng viet nam loại B","Hàng ký gởi"))</f>
        <v>Hàng ký gởi</v>
      </c>
      <c r="D7" t="str">
        <f t="shared" ref="D7:D12" si="1">IF(LEFT(B7,1)="V","Việt Nam",HLOOKUP(LEFT(B7,1),$A$15:$D$18,2,0))</f>
        <v>American</v>
      </c>
      <c r="E7" s="1" t="str">
        <f>MID(B7,2,2)&amp;"/20"&amp;MID(B7,4,2)</f>
        <v>10/2007</v>
      </c>
      <c r="F7">
        <v>30</v>
      </c>
      <c r="G7">
        <f t="shared" ref="G7:G12" si="2">IF(LEFT(B7,1)="V",5500,INDEX($B$17:$D$18,IF(RIGHT(B7)="n",1,2),MATCH(D7,$B$16:$D$16,0)))*F7</f>
        <v>270000</v>
      </c>
      <c r="H7">
        <f t="shared" ref="H7:H12" si="3">IF(AND(LEFT(B7,1)="V",MID(E7,4,4)="2008"),5000,0)</f>
        <v>0</v>
      </c>
      <c r="I7">
        <f t="shared" ref="I7:I12" si="4">G7-H7</f>
        <v>270000</v>
      </c>
      <c r="K7" t="str">
        <f t="shared" ref="K7:K12" si="5">MID(B7,4,2)&amp;RIGHT(B7)</f>
        <v>07N</v>
      </c>
    </row>
    <row r="8" spans="1:11">
      <c r="A8">
        <v>2</v>
      </c>
      <c r="B8" t="s">
        <v>336</v>
      </c>
      <c r="C8" t="str">
        <f t="shared" si="0"/>
        <v>Hàng ký gởi</v>
      </c>
      <c r="D8" t="str">
        <f t="shared" si="1"/>
        <v>France</v>
      </c>
      <c r="E8" s="1" t="str">
        <f t="shared" ref="E8:E12" si="6">MID(B8,2,2)&amp;"/20"&amp;MID(B8,4,2)</f>
        <v>02/2008</v>
      </c>
      <c r="F8">
        <v>24</v>
      </c>
      <c r="G8">
        <f t="shared" si="2"/>
        <v>204000</v>
      </c>
      <c r="H8">
        <f t="shared" si="3"/>
        <v>0</v>
      </c>
      <c r="I8">
        <f t="shared" si="4"/>
        <v>204000</v>
      </c>
      <c r="K8" t="str">
        <f t="shared" si="5"/>
        <v>08N</v>
      </c>
    </row>
    <row r="9" spans="1:11">
      <c r="A9">
        <v>3</v>
      </c>
      <c r="B9" t="s">
        <v>337</v>
      </c>
      <c r="C9" t="str">
        <f t="shared" si="0"/>
        <v>Hàng ký gởi</v>
      </c>
      <c r="D9" t="str">
        <f t="shared" si="1"/>
        <v>German</v>
      </c>
      <c r="E9" s="1" t="str">
        <f t="shared" si="6"/>
        <v>01/2007</v>
      </c>
      <c r="F9">
        <v>45</v>
      </c>
      <c r="G9">
        <f t="shared" si="2"/>
        <v>450000</v>
      </c>
      <c r="H9">
        <f t="shared" si="3"/>
        <v>0</v>
      </c>
      <c r="I9">
        <f t="shared" si="4"/>
        <v>450000</v>
      </c>
      <c r="K9" t="str">
        <f t="shared" si="5"/>
        <v>07X</v>
      </c>
    </row>
    <row r="10" spans="1:11">
      <c r="A10">
        <v>4</v>
      </c>
      <c r="B10" t="s">
        <v>338</v>
      </c>
      <c r="C10" t="str">
        <f t="shared" si="0"/>
        <v>Hàng viet nam chất lượng cao</v>
      </c>
      <c r="D10" t="str">
        <f t="shared" si="1"/>
        <v>Việt Nam</v>
      </c>
      <c r="E10" s="1" t="str">
        <f t="shared" si="6"/>
        <v>05/2008</v>
      </c>
      <c r="F10">
        <v>35</v>
      </c>
      <c r="G10">
        <f t="shared" si="2"/>
        <v>192500</v>
      </c>
      <c r="H10">
        <f t="shared" si="3"/>
        <v>5000</v>
      </c>
      <c r="I10">
        <f t="shared" si="4"/>
        <v>187500</v>
      </c>
      <c r="K10" t="str">
        <f t="shared" si="5"/>
        <v>08N</v>
      </c>
    </row>
    <row r="11" spans="1:11">
      <c r="A11">
        <v>5</v>
      </c>
      <c r="B11" t="s">
        <v>339</v>
      </c>
      <c r="C11" t="str">
        <f t="shared" si="0"/>
        <v>Hàng ký gởi</v>
      </c>
      <c r="D11" t="str">
        <f t="shared" si="1"/>
        <v>American</v>
      </c>
      <c r="E11" s="1" t="str">
        <f t="shared" si="6"/>
        <v>08/2008</v>
      </c>
      <c r="F11">
        <v>20</v>
      </c>
      <c r="G11">
        <f t="shared" si="2"/>
        <v>240000</v>
      </c>
      <c r="H11">
        <f t="shared" si="3"/>
        <v>0</v>
      </c>
      <c r="I11">
        <f t="shared" si="4"/>
        <v>240000</v>
      </c>
      <c r="K11" t="str">
        <f t="shared" si="5"/>
        <v>08X</v>
      </c>
    </row>
    <row r="12" spans="1:11">
      <c r="A12">
        <v>6</v>
      </c>
      <c r="B12" t="s">
        <v>340</v>
      </c>
      <c r="C12" t="str">
        <f t="shared" si="0"/>
        <v>Hàng ký gởi</v>
      </c>
      <c r="D12" t="str">
        <f t="shared" si="1"/>
        <v>American</v>
      </c>
      <c r="E12" s="1" t="str">
        <f t="shared" si="6"/>
        <v>11/2007</v>
      </c>
      <c r="F12">
        <v>15</v>
      </c>
      <c r="G12">
        <f t="shared" si="2"/>
        <v>180000</v>
      </c>
      <c r="H12">
        <f t="shared" si="3"/>
        <v>0</v>
      </c>
      <c r="I12">
        <f t="shared" si="4"/>
        <v>180000</v>
      </c>
      <c r="K12" t="str">
        <f t="shared" si="5"/>
        <v>07X</v>
      </c>
    </row>
    <row r="13" spans="1:11">
      <c r="E13" s="1"/>
    </row>
    <row r="14" spans="1:11">
      <c r="E14" s="1"/>
    </row>
    <row r="15" spans="1:11" ht="31.5">
      <c r="A15" s="4" t="s">
        <v>341</v>
      </c>
      <c r="B15" t="s">
        <v>167</v>
      </c>
      <c r="C15" t="s">
        <v>342</v>
      </c>
      <c r="D15" t="s">
        <v>158</v>
      </c>
      <c r="G15" s="45" t="s">
        <v>348</v>
      </c>
      <c r="H15" s="45"/>
    </row>
    <row r="16" spans="1:11">
      <c r="A16" t="s">
        <v>332</v>
      </c>
      <c r="B16" t="s">
        <v>345</v>
      </c>
      <c r="C16" t="s">
        <v>346</v>
      </c>
      <c r="D16" t="s">
        <v>347</v>
      </c>
      <c r="G16" t="s">
        <v>349</v>
      </c>
      <c r="H16" t="s">
        <v>242</v>
      </c>
    </row>
    <row r="17" spans="1:8">
      <c r="A17" t="s">
        <v>343</v>
      </c>
      <c r="B17">
        <v>9000</v>
      </c>
      <c r="C17">
        <v>8500</v>
      </c>
      <c r="D17">
        <v>8000</v>
      </c>
      <c r="G17" t="s">
        <v>350</v>
      </c>
      <c r="H17">
        <f>SUMIF($K$7:$K$12,G17,$I$7:$I$12)</f>
        <v>270000</v>
      </c>
    </row>
    <row r="18" spans="1:8">
      <c r="A18" t="s">
        <v>344</v>
      </c>
      <c r="B18">
        <v>12000</v>
      </c>
      <c r="C18">
        <v>11000</v>
      </c>
      <c r="D18">
        <v>10000</v>
      </c>
      <c r="G18" t="s">
        <v>403</v>
      </c>
      <c r="H18">
        <f>SUMIF($K$7:$K$12,G18,$I$7:$I$12)</f>
        <v>630000</v>
      </c>
    </row>
    <row r="19" spans="1:8">
      <c r="G19" t="s">
        <v>352</v>
      </c>
      <c r="H19">
        <f>SUMIF($K$7:$K$12,G19,$I$7:$I$12)</f>
        <v>391500</v>
      </c>
    </row>
    <row r="20" spans="1:8">
      <c r="G20" t="s">
        <v>351</v>
      </c>
      <c r="H20">
        <f>SUMIF($K$7:$K$12,G20,$I$7:$I$12)</f>
        <v>240000</v>
      </c>
    </row>
  </sheetData>
  <sheetProtection password="CADB" sheet="1" objects="1" scenarios="1"/>
  <mergeCells count="7">
    <mergeCell ref="G15:H15"/>
    <mergeCell ref="A2:C2"/>
    <mergeCell ref="A3:C3"/>
    <mergeCell ref="A4:C4"/>
    <mergeCell ref="E2:I2"/>
    <mergeCell ref="E3:J3"/>
    <mergeCell ref="E4:J4"/>
  </mergeCells>
  <phoneticPr fontId="0" type="noConversion"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3" sqref="A1:XFD1048576"/>
    </sheetView>
  </sheetViews>
  <sheetFormatPr defaultRowHeight="15.75"/>
  <cols>
    <col min="2" max="2" width="11.5" bestFit="1" customWidth="1"/>
    <col min="3" max="3" width="13" bestFit="1" customWidth="1"/>
    <col min="4" max="4" width="12.125" bestFit="1" customWidth="1"/>
    <col min="5" max="5" width="10.5" bestFit="1" customWidth="1"/>
    <col min="8" max="8" width="9.875" bestFit="1" customWidth="1"/>
    <col min="9" max="10" width="10.875" bestFit="1" customWidth="1"/>
  </cols>
  <sheetData>
    <row r="1" spans="1:10">
      <c r="A1" t="s">
        <v>415</v>
      </c>
    </row>
    <row r="2" spans="1:10">
      <c r="A2" s="45" t="s">
        <v>353</v>
      </c>
      <c r="B2" s="45"/>
      <c r="C2" s="45"/>
      <c r="D2" s="45"/>
      <c r="E2" s="45"/>
      <c r="F2" s="45"/>
      <c r="G2" s="45"/>
      <c r="H2" s="45"/>
      <c r="I2" s="45"/>
    </row>
    <row r="3" spans="1:10" ht="31.5">
      <c r="A3" t="s">
        <v>1</v>
      </c>
      <c r="B3" s="4" t="s">
        <v>354</v>
      </c>
      <c r="C3" t="s">
        <v>355</v>
      </c>
      <c r="D3" t="s">
        <v>356</v>
      </c>
      <c r="E3" t="s">
        <v>357</v>
      </c>
      <c r="F3" s="4" t="s">
        <v>358</v>
      </c>
      <c r="G3" s="4" t="s">
        <v>359</v>
      </c>
      <c r="H3" s="4" t="s">
        <v>360</v>
      </c>
      <c r="I3" s="4" t="s">
        <v>361</v>
      </c>
      <c r="J3" s="4" t="s">
        <v>409</v>
      </c>
    </row>
    <row r="4" spans="1:10">
      <c r="A4">
        <v>1</v>
      </c>
      <c r="B4" t="s">
        <v>362</v>
      </c>
      <c r="C4" t="str">
        <f>IF(LEFT(B4,3)="VND","Đồng Việt Nam","Dolar Mỹ")</f>
        <v>Dolar Mỹ</v>
      </c>
      <c r="E4">
        <v>9000</v>
      </c>
      <c r="F4">
        <f>VALUE(RIGHT(B4,1))</f>
        <v>2</v>
      </c>
      <c r="G4">
        <f>INDEX($B$18:$E$20,MATCH(F4,$A$18:$A$20,0),IF(AND(C4=$C$5,MID(B4,5,1)="T"),1,IF(AND(C4=$C$5,MID(B4,5,1)="S"),2,IF(AND(C4=$C$4,MID(B4,5,1)="T"),3,4))))*IF(C4=$C$8,D4,E4)</f>
        <v>252</v>
      </c>
      <c r="H4" s="2">
        <v>39153</v>
      </c>
      <c r="I4" s="23">
        <f>G4*12*F4*IF(C4=$C$4,$H$16,1)</f>
        <v>96768000</v>
      </c>
      <c r="J4" s="2">
        <f>H4+(F4*365)+1</f>
        <v>39884</v>
      </c>
    </row>
    <row r="5" spans="1:10">
      <c r="A5">
        <v>2</v>
      </c>
      <c r="B5" t="s">
        <v>363</v>
      </c>
      <c r="C5" t="str">
        <f t="shared" ref="C5:C13" si="0">IF(LEFT(B5,3)="VND","Đồng Việt Nam","Dolar Mỹ")</f>
        <v>Đồng Việt Nam</v>
      </c>
      <c r="D5">
        <v>25000000</v>
      </c>
      <c r="F5">
        <f t="shared" ref="F5:F13" si="1">VALUE(RIGHT(B5,1))</f>
        <v>3</v>
      </c>
      <c r="G5">
        <f t="shared" ref="G5:G13" si="2">INDEX($B$18:$E$20,MATCH(F5,$A$18:$A$20,0),IF(AND(C5=$C$5,MID(B5,5,1)="T"),1,IF(AND(C5=$C$5,MID(B5,5,1)="S"),2,IF(AND(C5=$C$4,MID(B5,5,1)="T"),3,4))))*IF(C5=$C$8,D5,E5)</f>
        <v>875000.00000000012</v>
      </c>
      <c r="H5" s="2">
        <v>39187</v>
      </c>
      <c r="I5" s="23">
        <f t="shared" ref="I5:I13" si="3">G5*12*F5*IF(C5=$C$4,$H$16,1)</f>
        <v>31500000.000000007</v>
      </c>
      <c r="J5" s="2">
        <f t="shared" ref="J5:J13" si="4">H5+(F5*365)+1</f>
        <v>40283</v>
      </c>
    </row>
    <row r="6" spans="1:10">
      <c r="A6">
        <v>3</v>
      </c>
      <c r="B6" t="s">
        <v>364</v>
      </c>
      <c r="C6" t="str">
        <f t="shared" si="0"/>
        <v>Đồng Việt Nam</v>
      </c>
      <c r="D6">
        <v>30000000</v>
      </c>
      <c r="F6">
        <f t="shared" si="1"/>
        <v>1</v>
      </c>
      <c r="G6">
        <f t="shared" si="2"/>
        <v>810000</v>
      </c>
      <c r="H6" s="2">
        <v>39212</v>
      </c>
      <c r="I6" s="23">
        <f t="shared" si="3"/>
        <v>9720000</v>
      </c>
      <c r="J6" s="2">
        <f t="shared" si="4"/>
        <v>39578</v>
      </c>
    </row>
    <row r="7" spans="1:10">
      <c r="A7">
        <v>4</v>
      </c>
      <c r="B7" t="s">
        <v>365</v>
      </c>
      <c r="C7" t="str">
        <f t="shared" si="0"/>
        <v>Dolar Mỹ</v>
      </c>
      <c r="E7">
        <v>500</v>
      </c>
      <c r="F7">
        <f t="shared" si="1"/>
        <v>3</v>
      </c>
      <c r="G7">
        <f t="shared" si="2"/>
        <v>19.5</v>
      </c>
      <c r="H7" s="2">
        <v>39226</v>
      </c>
      <c r="I7" s="23">
        <f t="shared" si="3"/>
        <v>11232000</v>
      </c>
      <c r="J7" s="2">
        <f t="shared" si="4"/>
        <v>40322</v>
      </c>
    </row>
    <row r="8" spans="1:10">
      <c r="A8">
        <v>5</v>
      </c>
      <c r="B8" t="s">
        <v>366</v>
      </c>
      <c r="C8" t="str">
        <f t="shared" si="0"/>
        <v>Đồng Việt Nam</v>
      </c>
      <c r="D8">
        <v>45000000</v>
      </c>
      <c r="F8">
        <f t="shared" si="1"/>
        <v>3</v>
      </c>
      <c r="G8">
        <f t="shared" si="2"/>
        <v>1215000</v>
      </c>
      <c r="H8" s="2">
        <v>39251</v>
      </c>
      <c r="I8" s="23">
        <f t="shared" si="3"/>
        <v>43740000</v>
      </c>
      <c r="J8" s="2">
        <f t="shared" si="4"/>
        <v>40347</v>
      </c>
    </row>
    <row r="9" spans="1:10">
      <c r="A9">
        <v>6</v>
      </c>
      <c r="B9" t="s">
        <v>367</v>
      </c>
      <c r="C9" t="str">
        <f t="shared" si="0"/>
        <v>Dolar Mỹ</v>
      </c>
      <c r="E9">
        <v>5000</v>
      </c>
      <c r="F9">
        <f t="shared" si="1"/>
        <v>2</v>
      </c>
      <c r="G9">
        <f t="shared" si="2"/>
        <v>180</v>
      </c>
      <c r="H9" s="2">
        <v>39189</v>
      </c>
      <c r="I9" s="23">
        <f t="shared" si="3"/>
        <v>69120000</v>
      </c>
      <c r="J9" s="2">
        <f t="shared" si="4"/>
        <v>39920</v>
      </c>
    </row>
    <row r="10" spans="1:10">
      <c r="A10">
        <v>7</v>
      </c>
      <c r="B10" t="s">
        <v>368</v>
      </c>
      <c r="C10" t="str">
        <f t="shared" si="0"/>
        <v>Đồng Việt Nam</v>
      </c>
      <c r="D10">
        <v>60000000</v>
      </c>
      <c r="F10">
        <f t="shared" si="1"/>
        <v>2</v>
      </c>
      <c r="G10">
        <f t="shared" si="2"/>
        <v>1500000</v>
      </c>
      <c r="H10" s="2">
        <v>39152</v>
      </c>
      <c r="I10" s="23">
        <f t="shared" si="3"/>
        <v>36000000</v>
      </c>
      <c r="J10" s="2">
        <f t="shared" si="4"/>
        <v>39883</v>
      </c>
    </row>
    <row r="11" spans="1:10">
      <c r="A11">
        <v>8</v>
      </c>
      <c r="B11" t="s">
        <v>369</v>
      </c>
      <c r="C11" t="str">
        <f t="shared" si="0"/>
        <v>Đồng Việt Nam</v>
      </c>
      <c r="D11">
        <v>20000000</v>
      </c>
      <c r="F11">
        <f t="shared" si="1"/>
        <v>1</v>
      </c>
      <c r="G11">
        <f t="shared" si="2"/>
        <v>440000</v>
      </c>
      <c r="H11" s="2">
        <v>39222</v>
      </c>
      <c r="I11" s="23">
        <f t="shared" si="3"/>
        <v>5280000</v>
      </c>
      <c r="J11" s="2">
        <f t="shared" si="4"/>
        <v>39588</v>
      </c>
    </row>
    <row r="12" spans="1:10">
      <c r="A12">
        <v>9</v>
      </c>
      <c r="B12" t="s">
        <v>370</v>
      </c>
      <c r="C12" t="str">
        <f t="shared" si="0"/>
        <v>Dolar Mỹ</v>
      </c>
      <c r="E12">
        <v>20000</v>
      </c>
      <c r="F12">
        <f t="shared" si="1"/>
        <v>3</v>
      </c>
      <c r="G12">
        <f t="shared" si="2"/>
        <v>600</v>
      </c>
      <c r="H12" s="2">
        <v>39191</v>
      </c>
      <c r="I12" s="23">
        <f t="shared" si="3"/>
        <v>345600000</v>
      </c>
      <c r="J12" s="2">
        <f t="shared" si="4"/>
        <v>40287</v>
      </c>
    </row>
    <row r="13" spans="1:10">
      <c r="A13">
        <v>10</v>
      </c>
      <c r="B13" t="s">
        <v>371</v>
      </c>
      <c r="C13" t="str">
        <f t="shared" si="0"/>
        <v>Dolar Mỹ</v>
      </c>
      <c r="E13">
        <v>10000</v>
      </c>
      <c r="F13">
        <f t="shared" si="1"/>
        <v>1</v>
      </c>
      <c r="G13">
        <f t="shared" si="2"/>
        <v>290</v>
      </c>
      <c r="H13" s="2">
        <v>39249</v>
      </c>
      <c r="I13" s="23">
        <f t="shared" si="3"/>
        <v>55680000</v>
      </c>
      <c r="J13" s="2">
        <f t="shared" si="4"/>
        <v>39615</v>
      </c>
    </row>
    <row r="14" spans="1:10">
      <c r="J14" s="2"/>
    </row>
    <row r="15" spans="1:10">
      <c r="J15" s="2"/>
    </row>
    <row r="16" spans="1:10">
      <c r="A16" s="46" t="s">
        <v>372</v>
      </c>
      <c r="B16" s="45" t="s">
        <v>373</v>
      </c>
      <c r="C16" s="45"/>
      <c r="D16" s="45" t="s">
        <v>374</v>
      </c>
      <c r="E16" s="45"/>
      <c r="G16" t="s">
        <v>404</v>
      </c>
      <c r="H16" s="15">
        <v>16000</v>
      </c>
    </row>
    <row r="17" spans="1:10">
      <c r="A17" s="46"/>
      <c r="B17" t="s">
        <v>375</v>
      </c>
      <c r="C17" t="s">
        <v>376</v>
      </c>
      <c r="D17" t="s">
        <v>377</v>
      </c>
      <c r="E17" t="s">
        <v>376</v>
      </c>
      <c r="G17" t="s">
        <v>405</v>
      </c>
      <c r="J17" s="23">
        <f>SUMIF($C$4:$C$13,C5,$I$4:$I$13)</f>
        <v>126240000</v>
      </c>
    </row>
    <row r="18" spans="1:10">
      <c r="A18">
        <v>1</v>
      </c>
      <c r="B18" s="18">
        <v>2.1999999999999999E-2</v>
      </c>
      <c r="C18" s="18">
        <v>2.7E-2</v>
      </c>
      <c r="D18" s="18">
        <v>2.1000000000000001E-2</v>
      </c>
      <c r="E18" s="18">
        <v>2.9000000000000001E-2</v>
      </c>
      <c r="G18" t="s">
        <v>406</v>
      </c>
      <c r="J18" s="23">
        <f>DSUM($A$3:$I$13,5,$A$22:$B$23)</f>
        <v>34500</v>
      </c>
    </row>
    <row r="19" spans="1:10">
      <c r="A19">
        <v>2</v>
      </c>
      <c r="B19" s="18">
        <v>2.5000000000000001E-2</v>
      </c>
      <c r="C19" s="18">
        <v>2.9000000000000001E-2</v>
      </c>
      <c r="D19" s="18">
        <v>2.8000000000000001E-2</v>
      </c>
      <c r="E19" s="18">
        <v>3.5999999999999997E-2</v>
      </c>
    </row>
    <row r="20" spans="1:10">
      <c r="A20">
        <v>3</v>
      </c>
      <c r="B20" s="18">
        <v>2.7E-2</v>
      </c>
      <c r="C20" s="18">
        <v>3.5000000000000003E-2</v>
      </c>
      <c r="D20" s="17">
        <v>0.03</v>
      </c>
      <c r="E20" s="18">
        <v>3.9E-2</v>
      </c>
    </row>
    <row r="22" spans="1:10">
      <c r="A22" t="s">
        <v>355</v>
      </c>
      <c r="B22" t="s">
        <v>358</v>
      </c>
    </row>
    <row r="23" spans="1:10">
      <c r="A23" t="s">
        <v>407</v>
      </c>
      <c r="B23" t="s">
        <v>408</v>
      </c>
    </row>
  </sheetData>
  <sheetProtection password="CADB" sheet="1" objects="1" scenarios="1"/>
  <mergeCells count="4">
    <mergeCell ref="A2:I2"/>
    <mergeCell ref="A16:A17"/>
    <mergeCell ref="B16:C16"/>
    <mergeCell ref="D16:E16"/>
  </mergeCells>
  <phoneticPr fontId="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B3" sqref="A1:XFD1048576"/>
    </sheetView>
  </sheetViews>
  <sheetFormatPr defaultRowHeight="15.75"/>
  <cols>
    <col min="2" max="2" width="11" bestFit="1" customWidth="1"/>
    <col min="3" max="3" width="10.75" bestFit="1" customWidth="1"/>
    <col min="4" max="4" width="21" bestFit="1" customWidth="1"/>
    <col min="7" max="7" width="12.375" bestFit="1" customWidth="1"/>
    <col min="11" max="11" width="10.875" bestFit="1" customWidth="1"/>
  </cols>
  <sheetData>
    <row r="1" spans="1:11">
      <c r="A1" t="s">
        <v>415</v>
      </c>
    </row>
    <row r="2" spans="1:11">
      <c r="A2" s="45" t="s">
        <v>378</v>
      </c>
      <c r="B2" s="45"/>
      <c r="C2" s="45"/>
      <c r="D2" s="45"/>
      <c r="E2" s="45"/>
      <c r="F2" s="45"/>
      <c r="G2" s="45"/>
    </row>
    <row r="3" spans="1:11">
      <c r="E3" s="45" t="s">
        <v>379</v>
      </c>
      <c r="F3" s="45"/>
      <c r="G3">
        <v>16000</v>
      </c>
    </row>
    <row r="4" spans="1:11">
      <c r="A4" t="s">
        <v>1</v>
      </c>
      <c r="B4" t="s">
        <v>122</v>
      </c>
      <c r="C4" t="s">
        <v>121</v>
      </c>
      <c r="D4" t="s">
        <v>385</v>
      </c>
      <c r="E4" t="s">
        <v>125</v>
      </c>
      <c r="F4" t="s">
        <v>87</v>
      </c>
      <c r="G4" t="s">
        <v>128</v>
      </c>
    </row>
    <row r="5" spans="1:11">
      <c r="A5">
        <v>1</v>
      </c>
      <c r="B5" t="s">
        <v>380</v>
      </c>
      <c r="C5" t="str">
        <f>VLOOKUP(LEFT(B5,2),$A$14:$C$16,2,0)</f>
        <v>Máy in LQ</v>
      </c>
      <c r="D5" t="str">
        <f>IF(LEFT(B5,1)="A","Hàng nguyên thùng","Hàng lắp ráp tại Việt Nam")</f>
        <v>Hàng nguyên thùng</v>
      </c>
      <c r="E5">
        <f>HLOOKUP(VALUE("20"&amp;MID(B5,7,2)),$E$13:$H$16,2,0)</f>
        <v>200</v>
      </c>
      <c r="F5">
        <f>HLOOKUP(VALUE("20"&amp;MID(B5,7,2)),$E$13:$H$16,IF(RIGHT(B5)="a",3,4),0)</f>
        <v>600</v>
      </c>
      <c r="G5" s="23">
        <f>((F5*E5)-(VLOOKUP(LEFT(B5,2),$A$14:$C$16,3,0)*E5*F5))*$G$3</f>
        <v>1728000000</v>
      </c>
    </row>
    <row r="6" spans="1:11">
      <c r="A6">
        <v>2</v>
      </c>
      <c r="B6" t="s">
        <v>381</v>
      </c>
      <c r="C6" t="str">
        <f>VLOOKUP(LEFT(B6,2),$A$14:$C$16,2,0)</f>
        <v>Máy in LQ</v>
      </c>
      <c r="D6" t="str">
        <f>IF(LEFT(B6,1)="A","Hàng nguyên thùng","Hàng lắp ráp tại Việt Nam")</f>
        <v>Hàng nguyên thùng</v>
      </c>
      <c r="E6">
        <f>HLOOKUP(VALUE("20"&amp;MID(B6,7,2)),$E$13:$H$16,2,0)</f>
        <v>150</v>
      </c>
      <c r="F6">
        <f>HLOOKUP(VALUE("20"&amp;MID(B6,7,2)),$E$13:$H$16,IF(RIGHT(B6)="a",3,4),0)</f>
        <v>600</v>
      </c>
      <c r="G6" s="23">
        <f>((F6*E6)-(VLOOKUP(LEFT(B6,2),$A$14:$C$16,3,0)*E6*F6))*$G$3</f>
        <v>1296000000</v>
      </c>
    </row>
    <row r="7" spans="1:11">
      <c r="A7">
        <v>3</v>
      </c>
      <c r="B7" t="s">
        <v>382</v>
      </c>
      <c r="C7" t="str">
        <f>VLOOKUP(LEFT(B7,2),$A$14:$C$16,2,0)</f>
        <v>Máy Vẽ A0</v>
      </c>
      <c r="D7" t="str">
        <f>IF(LEFT(B7,1)="A","Hàng nguyên thùng","Hàng lắp ráp tại Việt Nam")</f>
        <v>Hàng lắp ráp tại Việt Nam</v>
      </c>
      <c r="E7">
        <f>HLOOKUP(VALUE("20"&amp;MID(B7,7,2)),$E$13:$H$16,2,0)</f>
        <v>300</v>
      </c>
      <c r="F7">
        <f>HLOOKUP(VALUE("20"&amp;MID(B7,7,2)),$E$13:$H$16,IF(RIGHT(B7)="a",3,4),0)</f>
        <v>550</v>
      </c>
      <c r="G7" s="23">
        <f>((F7*E7)-(VLOOKUP(LEFT(B7,2),$A$14:$C$16,3,0)*E7*F7))*$G$3</f>
        <v>2112000000</v>
      </c>
    </row>
    <row r="8" spans="1:11">
      <c r="A8">
        <v>4</v>
      </c>
      <c r="B8" t="s">
        <v>383</v>
      </c>
      <c r="C8" t="str">
        <f>VLOOKUP(LEFT(B8,2),$A$14:$C$16,2,0)</f>
        <v>Máy Tính P4</v>
      </c>
      <c r="D8" t="str">
        <f>IF(LEFT(B8,1)="A","Hàng nguyên thùng","Hàng lắp ráp tại Việt Nam")</f>
        <v>Hàng lắp ráp tại Việt Nam</v>
      </c>
      <c r="E8">
        <f>HLOOKUP(VALUE("20"&amp;MID(B8,7,2)),$E$13:$H$16,2,0)</f>
        <v>150</v>
      </c>
      <c r="F8">
        <f>HLOOKUP(VALUE("20"&amp;MID(B8,7,2)),$E$13:$H$16,IF(RIGHT(B8)="a",3,4),0)</f>
        <v>700</v>
      </c>
      <c r="G8" s="23">
        <f>((F8*E8)-(VLOOKUP(LEFT(B8,2),$A$14:$C$16,3,0)*E8*F8))*$G$3</f>
        <v>1596000000</v>
      </c>
    </row>
    <row r="9" spans="1:11">
      <c r="A9">
        <v>5</v>
      </c>
      <c r="B9" t="s">
        <v>384</v>
      </c>
      <c r="C9" t="str">
        <f>VLOOKUP(LEFT(B9,2),$A$14:$C$16,2,0)</f>
        <v>Máy in LQ</v>
      </c>
      <c r="D9" t="str">
        <f>IF(LEFT(B9,1)="A","Hàng nguyên thùng","Hàng lắp ráp tại Việt Nam")</f>
        <v>Hàng nguyên thùng</v>
      </c>
      <c r="E9">
        <f>HLOOKUP(VALUE("20"&amp;MID(B9,7,2)),$E$13:$H$16,2,0)</f>
        <v>300</v>
      </c>
      <c r="F9">
        <f>HLOOKUP(VALUE("20"&amp;MID(B9,7,2)),$E$13:$H$16,IF(RIGHT(B9)="a",3,4),0)</f>
        <v>650</v>
      </c>
      <c r="G9" s="23">
        <f>((F9*E9)-(VLOOKUP(LEFT(B9,2),$A$14:$C$16,3,0)*E9*F9))*$G$3</f>
        <v>2808000000</v>
      </c>
    </row>
    <row r="10" spans="1:11">
      <c r="A10">
        <v>6</v>
      </c>
      <c r="B10" s="45" t="s">
        <v>15</v>
      </c>
      <c r="C10" s="45"/>
      <c r="D10" s="45"/>
    </row>
    <row r="13" spans="1:11" ht="31.5">
      <c r="A13" t="s">
        <v>157</v>
      </c>
      <c r="B13" t="s">
        <v>121</v>
      </c>
      <c r="C13" s="4" t="s">
        <v>388</v>
      </c>
      <c r="E13" t="s">
        <v>349</v>
      </c>
      <c r="F13">
        <v>2006</v>
      </c>
      <c r="G13">
        <v>2007</v>
      </c>
      <c r="H13">
        <v>2008</v>
      </c>
      <c r="J13" t="s">
        <v>157</v>
      </c>
      <c r="K13" t="s">
        <v>394</v>
      </c>
    </row>
    <row r="14" spans="1:11">
      <c r="A14" t="s">
        <v>386</v>
      </c>
      <c r="B14" t="s">
        <v>389</v>
      </c>
      <c r="C14" s="17">
        <v>0.1</v>
      </c>
      <c r="E14" t="s">
        <v>395</v>
      </c>
      <c r="F14">
        <v>200</v>
      </c>
      <c r="G14">
        <v>300</v>
      </c>
      <c r="H14">
        <v>150</v>
      </c>
      <c r="J14" t="s">
        <v>386</v>
      </c>
      <c r="K14">
        <f>SUMIF($B$5:$B$9,J14&amp;"*",$G$5:$G$9)</f>
        <v>5832000000</v>
      </c>
    </row>
    <row r="15" spans="1:11">
      <c r="A15" t="s">
        <v>387</v>
      </c>
      <c r="B15" t="s">
        <v>390</v>
      </c>
      <c r="C15" s="17">
        <v>0.2</v>
      </c>
      <c r="E15" t="s">
        <v>241</v>
      </c>
      <c r="F15">
        <v>500</v>
      </c>
      <c r="G15">
        <v>550</v>
      </c>
      <c r="H15">
        <v>600</v>
      </c>
      <c r="J15" t="s">
        <v>387</v>
      </c>
      <c r="K15">
        <f>SUMIF($B$5:$B$9,J15&amp;"*",$G$5:$G$9)</f>
        <v>2112000000</v>
      </c>
    </row>
    <row r="16" spans="1:11">
      <c r="A16" t="s">
        <v>391</v>
      </c>
      <c r="B16" t="s">
        <v>392</v>
      </c>
      <c r="C16" s="17">
        <v>0.05</v>
      </c>
      <c r="E16" t="s">
        <v>393</v>
      </c>
      <c r="F16">
        <v>600</v>
      </c>
      <c r="G16">
        <v>650</v>
      </c>
      <c r="H16">
        <v>700</v>
      </c>
      <c r="J16" t="s">
        <v>391</v>
      </c>
      <c r="K16">
        <f>SUMIF($B$5:$B$9,J16&amp;"*",$G$5:$G$9)</f>
        <v>1596000000</v>
      </c>
    </row>
  </sheetData>
  <sheetProtection password="CADB" sheet="1" objects="1" scenarios="1"/>
  <mergeCells count="3">
    <mergeCell ref="A2:G2"/>
    <mergeCell ref="E3:F3"/>
    <mergeCell ref="B10:D10"/>
  </mergeCells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A2" sqref="A1:XFD1048576"/>
    </sheetView>
  </sheetViews>
  <sheetFormatPr defaultRowHeight="15.75"/>
  <cols>
    <col min="2" max="2" width="11.625" bestFit="1" customWidth="1"/>
    <col min="3" max="3" width="5.5" bestFit="1" customWidth="1"/>
    <col min="4" max="4" width="11" customWidth="1"/>
    <col min="5" max="5" width="9.875" bestFit="1" customWidth="1"/>
    <col min="6" max="6" width="9.25" bestFit="1" customWidth="1"/>
    <col min="7" max="7" width="14" bestFit="1" customWidth="1"/>
    <col min="8" max="8" width="11.375" bestFit="1" customWidth="1"/>
    <col min="9" max="9" width="13" bestFit="1" customWidth="1"/>
  </cols>
  <sheetData>
    <row r="1" spans="1:9">
      <c r="A1" t="s">
        <v>415</v>
      </c>
    </row>
    <row r="2" spans="1:9">
      <c r="A2" s="45" t="s">
        <v>16</v>
      </c>
      <c r="B2" s="45"/>
      <c r="C2" s="45"/>
      <c r="D2" s="45"/>
      <c r="E2" s="45"/>
      <c r="F2" s="45"/>
      <c r="G2" s="45"/>
      <c r="H2" s="45"/>
      <c r="I2" s="45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 ht="31.5">
      <c r="A4" s="1"/>
      <c r="B4" s="1"/>
      <c r="C4" s="1" t="s">
        <v>36</v>
      </c>
      <c r="D4" s="6" t="s">
        <v>37</v>
      </c>
      <c r="E4" s="3">
        <v>450000</v>
      </c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t="s">
        <v>1</v>
      </c>
      <c r="B6" t="s">
        <v>17</v>
      </c>
      <c r="C6" t="s">
        <v>18</v>
      </c>
      <c r="D6" t="s">
        <v>19</v>
      </c>
      <c r="E6" t="s">
        <v>20</v>
      </c>
      <c r="F6" t="s">
        <v>39</v>
      </c>
      <c r="G6" t="s">
        <v>40</v>
      </c>
      <c r="H6" t="s">
        <v>41</v>
      </c>
      <c r="I6" t="s">
        <v>21</v>
      </c>
    </row>
    <row r="7" spans="1:9">
      <c r="A7">
        <v>1</v>
      </c>
      <c r="B7" t="s">
        <v>22</v>
      </c>
      <c r="C7" t="s">
        <v>29</v>
      </c>
      <c r="D7" s="2">
        <v>27388</v>
      </c>
      <c r="E7">
        <v>4.0999999999999996</v>
      </c>
      <c r="F7" s="8">
        <v>6</v>
      </c>
      <c r="G7" s="9">
        <f>(E7+10%*F7)*50%*$E$4</f>
        <v>1057499.9999999998</v>
      </c>
      <c r="H7" s="9">
        <f>(E7*$E$4+G7)*5%</f>
        <v>145124.99999999997</v>
      </c>
      <c r="I7" s="9">
        <f>E7*$E$4+G7-H7</f>
        <v>2757374.9999999995</v>
      </c>
    </row>
    <row r="8" spans="1:9">
      <c r="A8">
        <v>2</v>
      </c>
      <c r="B8" t="s">
        <v>23</v>
      </c>
      <c r="C8" t="s">
        <v>30</v>
      </c>
      <c r="D8" s="2">
        <v>27647</v>
      </c>
      <c r="E8">
        <v>3.9</v>
      </c>
      <c r="F8" s="8">
        <v>4</v>
      </c>
      <c r="G8" s="9">
        <f t="shared" ref="G8:G14" si="0">(E8+10%*F8)*50%*$E$4</f>
        <v>967500</v>
      </c>
      <c r="H8" s="9">
        <f t="shared" ref="H8:H14" si="1">(E8*$E$4+G8)*5%</f>
        <v>136125</v>
      </c>
      <c r="I8" s="9">
        <f t="shared" ref="I8:I14" si="2">E8*$E$4+G8-H8</f>
        <v>2586375</v>
      </c>
    </row>
    <row r="9" spans="1:9">
      <c r="A9">
        <v>3</v>
      </c>
      <c r="B9" t="s">
        <v>24</v>
      </c>
      <c r="C9" t="s">
        <v>31</v>
      </c>
      <c r="D9" s="2">
        <v>28086</v>
      </c>
      <c r="E9">
        <v>2.9</v>
      </c>
      <c r="F9" s="8">
        <v>4</v>
      </c>
      <c r="G9" s="9">
        <f t="shared" si="0"/>
        <v>742500</v>
      </c>
      <c r="H9" s="9">
        <f t="shared" si="1"/>
        <v>102375</v>
      </c>
      <c r="I9" s="9">
        <f t="shared" si="2"/>
        <v>1945125</v>
      </c>
    </row>
    <row r="10" spans="1:9">
      <c r="A10">
        <v>4</v>
      </c>
      <c r="B10" t="s">
        <v>24</v>
      </c>
      <c r="C10" t="s">
        <v>29</v>
      </c>
      <c r="D10" s="2">
        <v>28116</v>
      </c>
      <c r="E10">
        <v>3.9</v>
      </c>
      <c r="F10" s="8">
        <v>5</v>
      </c>
      <c r="G10" s="9">
        <f t="shared" si="0"/>
        <v>990000.00000000012</v>
      </c>
      <c r="H10" s="9">
        <f t="shared" si="1"/>
        <v>137250</v>
      </c>
      <c r="I10" s="9">
        <f t="shared" si="2"/>
        <v>2607750</v>
      </c>
    </row>
    <row r="11" spans="1:9">
      <c r="A11">
        <v>5</v>
      </c>
      <c r="B11" t="s">
        <v>25</v>
      </c>
      <c r="C11" t="s">
        <v>32</v>
      </c>
      <c r="D11" s="2">
        <v>27463</v>
      </c>
      <c r="E11">
        <v>2.7</v>
      </c>
      <c r="F11" s="8">
        <v>3</v>
      </c>
      <c r="G11" s="9">
        <f t="shared" si="0"/>
        <v>675000</v>
      </c>
      <c r="H11" s="9">
        <f t="shared" si="1"/>
        <v>94500</v>
      </c>
      <c r="I11" s="9">
        <f t="shared" si="2"/>
        <v>1795500</v>
      </c>
    </row>
    <row r="12" spans="1:9">
      <c r="A12">
        <v>6</v>
      </c>
      <c r="B12" t="s">
        <v>26</v>
      </c>
      <c r="C12" t="s">
        <v>33</v>
      </c>
      <c r="D12" s="2">
        <v>31298</v>
      </c>
      <c r="E12">
        <v>2.7</v>
      </c>
      <c r="F12" s="8">
        <v>2</v>
      </c>
      <c r="G12" s="9">
        <f t="shared" si="0"/>
        <v>652500.00000000012</v>
      </c>
      <c r="H12" s="9">
        <f t="shared" si="1"/>
        <v>93375</v>
      </c>
      <c r="I12" s="9">
        <f t="shared" si="2"/>
        <v>1774125</v>
      </c>
    </row>
    <row r="13" spans="1:9">
      <c r="A13">
        <v>7</v>
      </c>
      <c r="B13" t="s">
        <v>27</v>
      </c>
      <c r="C13" t="s">
        <v>34</v>
      </c>
      <c r="D13" s="2">
        <v>31851</v>
      </c>
      <c r="E13">
        <v>2.2000000000000002</v>
      </c>
      <c r="F13" s="8">
        <v>0</v>
      </c>
      <c r="G13" s="9">
        <f t="shared" si="0"/>
        <v>495000.00000000006</v>
      </c>
      <c r="H13" s="9">
        <f t="shared" si="1"/>
        <v>74250.000000000015</v>
      </c>
      <c r="I13" s="9">
        <f t="shared" si="2"/>
        <v>1410750.0000000002</v>
      </c>
    </row>
    <row r="14" spans="1:9">
      <c r="A14">
        <v>8</v>
      </c>
      <c r="B14" t="s">
        <v>28</v>
      </c>
      <c r="C14" t="s">
        <v>35</v>
      </c>
      <c r="D14" s="2">
        <v>31797</v>
      </c>
      <c r="E14">
        <v>2.6</v>
      </c>
      <c r="F14" s="8">
        <v>1</v>
      </c>
      <c r="G14" s="9">
        <f t="shared" si="0"/>
        <v>607500</v>
      </c>
      <c r="H14" s="9">
        <f t="shared" si="1"/>
        <v>88875</v>
      </c>
      <c r="I14" s="9">
        <f t="shared" si="2"/>
        <v>1688625</v>
      </c>
    </row>
  </sheetData>
  <sheetProtection password="CADB" sheet="1" objects="1" scenarios="1"/>
  <mergeCells count="1">
    <mergeCell ref="A2:I2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sqref="A1:XFD1048576"/>
    </sheetView>
  </sheetViews>
  <sheetFormatPr defaultRowHeight="15.75"/>
  <cols>
    <col min="2" max="2" width="16.125" bestFit="1" customWidth="1"/>
    <col min="3" max="3" width="9.875" bestFit="1" customWidth="1"/>
    <col min="7" max="7" width="12.5" bestFit="1" customWidth="1"/>
  </cols>
  <sheetData>
    <row r="1" spans="1:7">
      <c r="A1" t="s">
        <v>415</v>
      </c>
    </row>
    <row r="2" spans="1:7">
      <c r="A2" s="45" t="s">
        <v>42</v>
      </c>
      <c r="B2" s="45"/>
      <c r="C2" s="45"/>
      <c r="D2" s="45"/>
      <c r="E2" s="45"/>
      <c r="F2" s="45"/>
      <c r="G2" s="45"/>
    </row>
    <row r="3" spans="1:7">
      <c r="A3" s="45" t="s">
        <v>1</v>
      </c>
      <c r="B3" s="45" t="s">
        <v>38</v>
      </c>
      <c r="C3" s="45" t="s">
        <v>19</v>
      </c>
      <c r="D3" s="45" t="s">
        <v>43</v>
      </c>
      <c r="E3" s="45"/>
      <c r="F3" s="45" t="s">
        <v>46</v>
      </c>
      <c r="G3" s="45" t="s">
        <v>52</v>
      </c>
    </row>
    <row r="4" spans="1:7">
      <c r="A4" s="45"/>
      <c r="B4" s="45"/>
      <c r="C4" s="45"/>
      <c r="D4" t="s">
        <v>44</v>
      </c>
      <c r="E4" t="s">
        <v>45</v>
      </c>
      <c r="F4" s="45"/>
      <c r="G4" s="45"/>
    </row>
    <row r="5" spans="1:7">
      <c r="A5">
        <v>1</v>
      </c>
      <c r="B5" t="s">
        <v>47</v>
      </c>
      <c r="C5" s="10">
        <v>32193</v>
      </c>
      <c r="D5">
        <v>5</v>
      </c>
      <c r="E5">
        <v>6</v>
      </c>
      <c r="F5">
        <v>1</v>
      </c>
      <c r="G5">
        <f>ROUND(((D5+(E5*2))/3)+F5,2)</f>
        <v>6.67</v>
      </c>
    </row>
    <row r="6" spans="1:7">
      <c r="A6">
        <v>2</v>
      </c>
      <c r="B6" t="s">
        <v>48</v>
      </c>
      <c r="C6" s="10">
        <v>32550</v>
      </c>
      <c r="D6">
        <v>6</v>
      </c>
      <c r="E6">
        <v>4</v>
      </c>
      <c r="F6">
        <v>0.5</v>
      </c>
      <c r="G6">
        <f>ROUND(((D6+(E6*2))/3)+F6,2)</f>
        <v>5.17</v>
      </c>
    </row>
    <row r="7" spans="1:7">
      <c r="A7">
        <v>3</v>
      </c>
      <c r="B7" t="s">
        <v>49</v>
      </c>
      <c r="C7" s="10">
        <v>32093</v>
      </c>
      <c r="D7">
        <v>7</v>
      </c>
      <c r="E7">
        <v>5</v>
      </c>
      <c r="F7">
        <v>0.5</v>
      </c>
      <c r="G7">
        <f>ROUND(((D7+(E7*2))/3)+F7,2)</f>
        <v>6.17</v>
      </c>
    </row>
    <row r="8" spans="1:7">
      <c r="A8">
        <v>4</v>
      </c>
      <c r="B8" t="s">
        <v>50</v>
      </c>
      <c r="C8" s="10">
        <v>32396</v>
      </c>
      <c r="D8">
        <v>4</v>
      </c>
      <c r="E8">
        <v>8</v>
      </c>
      <c r="F8">
        <v>1</v>
      </c>
      <c r="G8">
        <f>ROUND(((D8+(E8*2))/3)+F8,2)</f>
        <v>7.67</v>
      </c>
    </row>
    <row r="9" spans="1:7">
      <c r="A9">
        <v>5</v>
      </c>
      <c r="B9" t="s">
        <v>51</v>
      </c>
      <c r="C9" s="10">
        <v>32806</v>
      </c>
      <c r="D9">
        <v>8</v>
      </c>
      <c r="E9">
        <v>5</v>
      </c>
      <c r="F9">
        <v>0.5</v>
      </c>
      <c r="G9">
        <f>ROUND(((D9+(E9*2))/3)+F9,2)</f>
        <v>6.5</v>
      </c>
    </row>
    <row r="10" spans="1:7">
      <c r="A10">
        <v>6</v>
      </c>
      <c r="B10" s="45" t="s">
        <v>15</v>
      </c>
      <c r="C10" s="45"/>
      <c r="D10">
        <f>SUM(D5:D9)</f>
        <v>30</v>
      </c>
      <c r="E10">
        <f>SUM(E5:E9)</f>
        <v>28</v>
      </c>
      <c r="F10">
        <f>SUM(F5:F9)</f>
        <v>3.5</v>
      </c>
      <c r="G10">
        <f>SUM(G5:G9)</f>
        <v>32.18</v>
      </c>
    </row>
  </sheetData>
  <sheetProtection password="CADB" sheet="1" objects="1" scenarios="1"/>
  <mergeCells count="8">
    <mergeCell ref="B10:C10"/>
    <mergeCell ref="A2:G2"/>
    <mergeCell ref="A3:A4"/>
    <mergeCell ref="B3:B4"/>
    <mergeCell ref="C3:C4"/>
    <mergeCell ref="D3:E3"/>
    <mergeCell ref="F3:F4"/>
    <mergeCell ref="G3:G4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sqref="A1:XFD1048576"/>
    </sheetView>
  </sheetViews>
  <sheetFormatPr defaultRowHeight="15.75"/>
  <sheetData>
    <row r="1" spans="1:9">
      <c r="A1" t="s">
        <v>415</v>
      </c>
    </row>
    <row r="2" spans="1:9">
      <c r="A2" s="45" t="s">
        <v>53</v>
      </c>
      <c r="B2" s="45"/>
      <c r="C2" s="45"/>
      <c r="D2" s="45"/>
      <c r="E2" s="45"/>
      <c r="F2" s="45"/>
      <c r="G2" s="45"/>
      <c r="H2" s="45"/>
    </row>
    <row r="3" spans="1:9" ht="31.5">
      <c r="A3" t="s">
        <v>1</v>
      </c>
      <c r="B3" t="s">
        <v>17</v>
      </c>
      <c r="C3" t="s">
        <v>18</v>
      </c>
      <c r="D3" t="s">
        <v>54</v>
      </c>
      <c r="E3" t="s">
        <v>55</v>
      </c>
      <c r="F3" s="4" t="s">
        <v>56</v>
      </c>
      <c r="G3" s="4" t="s">
        <v>57</v>
      </c>
      <c r="H3" s="4" t="s">
        <v>58</v>
      </c>
      <c r="I3" s="6"/>
    </row>
    <row r="4" spans="1:9">
      <c r="A4">
        <v>1</v>
      </c>
      <c r="B4" t="s">
        <v>62</v>
      </c>
      <c r="C4" t="s">
        <v>67</v>
      </c>
      <c r="D4">
        <v>1980</v>
      </c>
      <c r="E4" t="s">
        <v>72</v>
      </c>
      <c r="F4">
        <v>5.5</v>
      </c>
      <c r="G4">
        <v>3.2</v>
      </c>
      <c r="H4">
        <f t="shared" ref="H4:H10" si="0">(F4+G4)/2</f>
        <v>4.3499999999999996</v>
      </c>
    </row>
    <row r="5" spans="1:9">
      <c r="A5">
        <v>2</v>
      </c>
      <c r="B5" t="s">
        <v>59</v>
      </c>
      <c r="C5" t="s">
        <v>64</v>
      </c>
      <c r="D5">
        <v>1980</v>
      </c>
      <c r="E5" t="s">
        <v>71</v>
      </c>
      <c r="F5">
        <v>4.5</v>
      </c>
      <c r="G5" s="11">
        <v>6</v>
      </c>
      <c r="H5">
        <f t="shared" si="0"/>
        <v>5.25</v>
      </c>
    </row>
    <row r="6" spans="1:9">
      <c r="A6">
        <v>3</v>
      </c>
      <c r="B6" t="s">
        <v>63</v>
      </c>
      <c r="C6" t="s">
        <v>69</v>
      </c>
      <c r="D6">
        <v>1980</v>
      </c>
      <c r="E6" t="s">
        <v>71</v>
      </c>
      <c r="F6">
        <v>7.4</v>
      </c>
      <c r="G6">
        <v>7.9</v>
      </c>
      <c r="H6">
        <f t="shared" si="0"/>
        <v>7.65</v>
      </c>
    </row>
    <row r="7" spans="1:9">
      <c r="A7">
        <v>4</v>
      </c>
      <c r="B7" t="s">
        <v>61</v>
      </c>
      <c r="C7" t="s">
        <v>70</v>
      </c>
      <c r="D7">
        <v>1982</v>
      </c>
      <c r="E7" t="s">
        <v>71</v>
      </c>
      <c r="F7">
        <v>7.9</v>
      </c>
      <c r="G7">
        <v>8.1999999999999993</v>
      </c>
      <c r="H7">
        <f t="shared" si="0"/>
        <v>8.0500000000000007</v>
      </c>
    </row>
    <row r="8" spans="1:9">
      <c r="A8">
        <v>5</v>
      </c>
      <c r="B8" t="s">
        <v>60</v>
      </c>
      <c r="C8" t="s">
        <v>65</v>
      </c>
      <c r="D8">
        <v>1981</v>
      </c>
      <c r="E8" t="s">
        <v>71</v>
      </c>
      <c r="F8">
        <v>8.1999999999999993</v>
      </c>
      <c r="G8">
        <v>8.5</v>
      </c>
      <c r="H8">
        <f t="shared" si="0"/>
        <v>8.35</v>
      </c>
    </row>
    <row r="9" spans="1:9">
      <c r="A9">
        <v>6</v>
      </c>
      <c r="B9" t="s">
        <v>60</v>
      </c>
      <c r="C9" t="s">
        <v>68</v>
      </c>
      <c r="D9">
        <v>1981</v>
      </c>
      <c r="E9" t="s">
        <v>71</v>
      </c>
      <c r="F9">
        <v>8.4</v>
      </c>
      <c r="G9">
        <v>8.9</v>
      </c>
      <c r="H9">
        <f t="shared" si="0"/>
        <v>8.65</v>
      </c>
    </row>
    <row r="10" spans="1:9">
      <c r="A10">
        <v>7</v>
      </c>
      <c r="B10" t="s">
        <v>61</v>
      </c>
      <c r="C10" t="s">
        <v>66</v>
      </c>
      <c r="D10">
        <v>1980</v>
      </c>
      <c r="E10" t="s">
        <v>72</v>
      </c>
      <c r="F10">
        <v>9.3000000000000007</v>
      </c>
      <c r="G10">
        <v>9.5</v>
      </c>
      <c r="H10" s="12">
        <f t="shared" si="0"/>
        <v>9.4</v>
      </c>
    </row>
    <row r="11" spans="1:9">
      <c r="A11">
        <v>8</v>
      </c>
      <c r="B11" s="45" t="s">
        <v>73</v>
      </c>
      <c r="C11" s="45"/>
      <c r="D11" s="45"/>
      <c r="E11" s="45"/>
      <c r="F11">
        <f>MIN(F4:F10)</f>
        <v>4.5</v>
      </c>
      <c r="G11">
        <f>MIN(G4:G10)</f>
        <v>3.2</v>
      </c>
      <c r="H11">
        <f>MIN(H4:H10)</f>
        <v>4.3499999999999996</v>
      </c>
    </row>
    <row r="12" spans="1:9">
      <c r="A12">
        <v>9</v>
      </c>
      <c r="B12" s="45" t="s">
        <v>74</v>
      </c>
      <c r="C12" s="45"/>
      <c r="D12" s="45"/>
      <c r="E12" s="45"/>
      <c r="F12">
        <f>MAX(F4:F10)</f>
        <v>9.3000000000000007</v>
      </c>
      <c r="G12">
        <f>MAX(G4:G10)</f>
        <v>9.5</v>
      </c>
      <c r="H12" s="12">
        <f>MAX(H4:H10)</f>
        <v>9.4</v>
      </c>
    </row>
  </sheetData>
  <sheetProtection password="CADB" sheet="1" objects="1" scenarios="1"/>
  <mergeCells count="3">
    <mergeCell ref="A2:H2"/>
    <mergeCell ref="B11:E11"/>
    <mergeCell ref="B12:E12"/>
  </mergeCells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sqref="A1:XFD1048576"/>
    </sheetView>
  </sheetViews>
  <sheetFormatPr defaultRowHeight="15.75"/>
  <sheetData>
    <row r="1" spans="1:9">
      <c r="A1" t="s">
        <v>415</v>
      </c>
    </row>
    <row r="2" spans="1:9">
      <c r="A2" s="45" t="s">
        <v>53</v>
      </c>
      <c r="B2" s="45"/>
      <c r="C2" s="45"/>
      <c r="D2" s="45"/>
      <c r="E2" s="45"/>
      <c r="F2" s="45"/>
      <c r="G2" s="45"/>
      <c r="H2" s="45"/>
    </row>
    <row r="3" spans="1:9" ht="31.5">
      <c r="A3" t="s">
        <v>1</v>
      </c>
      <c r="B3" t="s">
        <v>17</v>
      </c>
      <c r="C3" t="s">
        <v>18</v>
      </c>
      <c r="D3" t="s">
        <v>54</v>
      </c>
      <c r="E3" t="s">
        <v>55</v>
      </c>
      <c r="F3" s="4" t="s">
        <v>56</v>
      </c>
      <c r="G3" s="4" t="s">
        <v>57</v>
      </c>
      <c r="H3" s="4" t="s">
        <v>58</v>
      </c>
      <c r="I3" s="6" t="s">
        <v>75</v>
      </c>
    </row>
    <row r="4" spans="1:9">
      <c r="A4">
        <v>1</v>
      </c>
      <c r="B4" t="s">
        <v>62</v>
      </c>
      <c r="C4" t="s">
        <v>67</v>
      </c>
      <c r="D4">
        <v>1980</v>
      </c>
      <c r="E4" t="s">
        <v>72</v>
      </c>
      <c r="F4">
        <v>5.5</v>
      </c>
      <c r="G4">
        <v>3.2</v>
      </c>
      <c r="H4">
        <f t="shared" ref="H4:H10" si="0">(F4+G4)/2</f>
        <v>4.3499999999999996</v>
      </c>
      <c r="I4">
        <f>RANK(H4,$H$4:$H$10,1)</f>
        <v>1</v>
      </c>
    </row>
    <row r="5" spans="1:9">
      <c r="A5">
        <v>2</v>
      </c>
      <c r="B5" t="s">
        <v>59</v>
      </c>
      <c r="C5" t="s">
        <v>64</v>
      </c>
      <c r="D5">
        <v>1980</v>
      </c>
      <c r="E5" t="s">
        <v>71</v>
      </c>
      <c r="F5">
        <v>4.5</v>
      </c>
      <c r="G5" s="11">
        <v>6</v>
      </c>
      <c r="H5">
        <f t="shared" si="0"/>
        <v>5.25</v>
      </c>
      <c r="I5">
        <f t="shared" ref="I5:I10" si="1">RANK(H5,$H$4:$H$10,1)</f>
        <v>2</v>
      </c>
    </row>
    <row r="6" spans="1:9">
      <c r="A6">
        <v>3</v>
      </c>
      <c r="B6" t="s">
        <v>63</v>
      </c>
      <c r="C6" t="s">
        <v>69</v>
      </c>
      <c r="D6">
        <v>1980</v>
      </c>
      <c r="E6" t="s">
        <v>71</v>
      </c>
      <c r="F6">
        <v>7.4</v>
      </c>
      <c r="G6">
        <v>7.9</v>
      </c>
      <c r="H6">
        <f t="shared" si="0"/>
        <v>7.65</v>
      </c>
      <c r="I6">
        <f t="shared" si="1"/>
        <v>3</v>
      </c>
    </row>
    <row r="7" spans="1:9">
      <c r="A7">
        <v>4</v>
      </c>
      <c r="B7" t="s">
        <v>61</v>
      </c>
      <c r="C7" t="s">
        <v>70</v>
      </c>
      <c r="D7">
        <v>1982</v>
      </c>
      <c r="E7" t="s">
        <v>71</v>
      </c>
      <c r="F7">
        <v>7.9</v>
      </c>
      <c r="G7">
        <v>8.1999999999999993</v>
      </c>
      <c r="H7">
        <f t="shared" si="0"/>
        <v>8.0500000000000007</v>
      </c>
      <c r="I7">
        <f t="shared" si="1"/>
        <v>4</v>
      </c>
    </row>
    <row r="8" spans="1:9">
      <c r="A8">
        <v>5</v>
      </c>
      <c r="B8" t="s">
        <v>60</v>
      </c>
      <c r="C8" t="s">
        <v>65</v>
      </c>
      <c r="D8">
        <v>1981</v>
      </c>
      <c r="E8" t="s">
        <v>71</v>
      </c>
      <c r="F8">
        <v>8.1999999999999993</v>
      </c>
      <c r="G8">
        <v>8.5</v>
      </c>
      <c r="H8">
        <f t="shared" si="0"/>
        <v>8.35</v>
      </c>
      <c r="I8">
        <f t="shared" si="1"/>
        <v>5</v>
      </c>
    </row>
    <row r="9" spans="1:9">
      <c r="A9">
        <v>6</v>
      </c>
      <c r="B9" t="s">
        <v>60</v>
      </c>
      <c r="C9" t="s">
        <v>68</v>
      </c>
      <c r="D9">
        <v>1981</v>
      </c>
      <c r="E9" t="s">
        <v>71</v>
      </c>
      <c r="F9">
        <v>8.4</v>
      </c>
      <c r="G9">
        <v>8.9</v>
      </c>
      <c r="H9">
        <f t="shared" si="0"/>
        <v>8.65</v>
      </c>
      <c r="I9">
        <f t="shared" si="1"/>
        <v>6</v>
      </c>
    </row>
    <row r="10" spans="1:9">
      <c r="A10">
        <v>7</v>
      </c>
      <c r="B10" t="s">
        <v>61</v>
      </c>
      <c r="C10" t="s">
        <v>66</v>
      </c>
      <c r="D10">
        <v>1980</v>
      </c>
      <c r="E10" t="s">
        <v>72</v>
      </c>
      <c r="F10">
        <v>9.3000000000000007</v>
      </c>
      <c r="G10">
        <v>8.1999999999999993</v>
      </c>
      <c r="H10" s="12">
        <f t="shared" si="0"/>
        <v>8.75</v>
      </c>
      <c r="I10">
        <f t="shared" si="1"/>
        <v>7</v>
      </c>
    </row>
    <row r="11" spans="1:9">
      <c r="A11">
        <v>8</v>
      </c>
      <c r="B11" s="45" t="s">
        <v>76</v>
      </c>
      <c r="C11" s="45"/>
      <c r="D11" s="45"/>
      <c r="E11" s="45"/>
      <c r="F11">
        <f>COUNT(F4:F10)</f>
        <v>7</v>
      </c>
      <c r="G11">
        <f>RANK(G4,G4:G10)</f>
        <v>7</v>
      </c>
    </row>
    <row r="12" spans="1:9">
      <c r="B12" s="3"/>
      <c r="C12" s="3"/>
      <c r="D12" s="3"/>
      <c r="E12" s="3"/>
      <c r="H12" s="12"/>
    </row>
  </sheetData>
  <sheetProtection password="CADB" sheet="1" objects="1" scenarios="1"/>
  <mergeCells count="2">
    <mergeCell ref="A2:H2"/>
    <mergeCell ref="B11:E11"/>
  </mergeCells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sqref="A1:XFD1048576"/>
    </sheetView>
  </sheetViews>
  <sheetFormatPr defaultRowHeight="15.75"/>
  <cols>
    <col min="3" max="3" width="9.625" bestFit="1" customWidth="1"/>
    <col min="6" max="6" width="12.375" bestFit="1" customWidth="1"/>
  </cols>
  <sheetData>
    <row r="1" spans="1:6">
      <c r="A1" t="s">
        <v>415</v>
      </c>
    </row>
    <row r="2" spans="1:6">
      <c r="A2" s="45" t="s">
        <v>77</v>
      </c>
      <c r="B2" s="45"/>
      <c r="C2" s="45"/>
      <c r="D2" s="45"/>
      <c r="E2" s="45"/>
      <c r="F2" s="45"/>
    </row>
    <row r="3" spans="1:6" ht="31.5">
      <c r="A3" t="s">
        <v>78</v>
      </c>
      <c r="B3" s="4" t="s">
        <v>84</v>
      </c>
      <c r="C3" s="4" t="s">
        <v>85</v>
      </c>
      <c r="D3" s="4" t="s">
        <v>86</v>
      </c>
      <c r="E3" s="4" t="s">
        <v>87</v>
      </c>
      <c r="F3" s="4" t="s">
        <v>88</v>
      </c>
    </row>
    <row r="4" spans="1:6">
      <c r="A4" t="s">
        <v>79</v>
      </c>
      <c r="B4" t="str">
        <f>IF(LEFT(A4,1)="T","Tôm","Mực")</f>
        <v>Tôm</v>
      </c>
      <c r="C4" t="str">
        <f>IF(RIGHT(A4,1)="N","Hàng Nhập","Hàng Xuất")</f>
        <v>Hàng Xuất</v>
      </c>
      <c r="D4">
        <v>2500</v>
      </c>
      <c r="E4">
        <v>150000</v>
      </c>
      <c r="F4" s="9">
        <f>D4*E4</f>
        <v>375000000</v>
      </c>
    </row>
    <row r="5" spans="1:6">
      <c r="A5" t="s">
        <v>80</v>
      </c>
      <c r="B5" t="str">
        <f>IF(LEFT(A5,1)="T","Tôm","Mực")</f>
        <v>Mực</v>
      </c>
      <c r="C5" t="str">
        <f>IF(RIGHT(A5,1)="N","Hàng Nhập","Hàng Xuất")</f>
        <v>Hàng Nhập</v>
      </c>
      <c r="D5">
        <v>3000</v>
      </c>
      <c r="E5">
        <v>100000</v>
      </c>
      <c r="F5" s="9">
        <f>D5*E5</f>
        <v>300000000</v>
      </c>
    </row>
    <row r="6" spans="1:6">
      <c r="A6" t="s">
        <v>81</v>
      </c>
      <c r="B6" t="str">
        <f>IF(LEFT(A6,1)="T","Tôm","Mực")</f>
        <v>Mực</v>
      </c>
      <c r="C6" t="str">
        <f>IF(RIGHT(A6,1)="N","Hàng Nhập","Hàng Xuất")</f>
        <v>Hàng Xuất</v>
      </c>
      <c r="D6">
        <v>4000</v>
      </c>
      <c r="E6">
        <v>160000</v>
      </c>
      <c r="F6" s="9">
        <f>D6*E6</f>
        <v>640000000</v>
      </c>
    </row>
    <row r="7" spans="1:6">
      <c r="A7" t="s">
        <v>82</v>
      </c>
      <c r="B7" t="str">
        <f>IF(LEFT(A7,1)="T","Tôm","Mực")</f>
        <v>Tôm</v>
      </c>
      <c r="C7" t="str">
        <f>IF(RIGHT(A7,1)="N","Hàng Nhập","Hàng Xuất")</f>
        <v>Hàng Nhập</v>
      </c>
      <c r="D7">
        <v>2000</v>
      </c>
      <c r="E7">
        <v>100000</v>
      </c>
      <c r="F7" s="9">
        <f>D7*E7</f>
        <v>200000000</v>
      </c>
    </row>
    <row r="8" spans="1:6">
      <c r="A8" t="s">
        <v>83</v>
      </c>
      <c r="B8" t="str">
        <f>IF(LEFT(A8,1)="T","Tôm","Mực")</f>
        <v>Tôm</v>
      </c>
      <c r="C8" t="str">
        <f>IF(RIGHT(A8,1)="N","Hàng Nhập","Hàng Xuất")</f>
        <v>Hàng Xuất</v>
      </c>
      <c r="D8">
        <v>1800</v>
      </c>
      <c r="E8">
        <v>150000</v>
      </c>
      <c r="F8" s="9">
        <f>D8*E8</f>
        <v>270000000</v>
      </c>
    </row>
  </sheetData>
  <sheetProtection password="CADB" sheet="1" objects="1" scenarios="1"/>
  <mergeCells count="1">
    <mergeCell ref="A2:F2"/>
  </mergeCells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1"/>
  <sheetViews>
    <sheetView topLeftCell="C1" workbookViewId="0">
      <selection activeCell="C1" sqref="A1:XFD1048576"/>
    </sheetView>
  </sheetViews>
  <sheetFormatPr defaultRowHeight="15.75"/>
  <cols>
    <col min="7" max="7" width="11.625" customWidth="1"/>
  </cols>
  <sheetData>
    <row r="1" spans="1:10">
      <c r="C1" t="s">
        <v>415</v>
      </c>
    </row>
    <row r="2" spans="1:10">
      <c r="A2" s="45" t="s">
        <v>89</v>
      </c>
      <c r="B2" s="45"/>
      <c r="C2" s="45"/>
      <c r="D2" s="45"/>
      <c r="E2" s="45"/>
      <c r="F2" s="45"/>
      <c r="G2" s="45"/>
      <c r="H2" s="45"/>
      <c r="I2" s="45"/>
      <c r="J2" s="45"/>
    </row>
    <row r="3" spans="1:10">
      <c r="A3" s="45" t="s">
        <v>1</v>
      </c>
      <c r="B3" s="46" t="s">
        <v>90</v>
      </c>
      <c r="C3" s="45" t="s">
        <v>91</v>
      </c>
      <c r="D3" s="45" t="s">
        <v>52</v>
      </c>
      <c r="E3" s="45"/>
      <c r="F3" s="46" t="s">
        <v>94</v>
      </c>
      <c r="G3" s="46" t="s">
        <v>95</v>
      </c>
      <c r="H3" s="46" t="s">
        <v>96</v>
      </c>
      <c r="I3" s="45" t="s">
        <v>97</v>
      </c>
      <c r="J3" s="45" t="s">
        <v>98</v>
      </c>
    </row>
    <row r="4" spans="1:10">
      <c r="A4" s="45"/>
      <c r="B4" s="45"/>
      <c r="C4" s="45"/>
      <c r="D4" t="s">
        <v>92</v>
      </c>
      <c r="E4" t="s">
        <v>93</v>
      </c>
      <c r="F4" s="45"/>
      <c r="G4" s="45"/>
      <c r="H4" s="45"/>
      <c r="I4" s="45"/>
      <c r="J4" s="45"/>
    </row>
    <row r="5" spans="1:10">
      <c r="A5">
        <v>1</v>
      </c>
      <c r="B5" t="s">
        <v>99</v>
      </c>
      <c r="C5" t="s">
        <v>103</v>
      </c>
      <c r="D5">
        <v>8</v>
      </c>
      <c r="E5">
        <v>9</v>
      </c>
      <c r="F5">
        <f>ROUND((D5+(E5*2))/3,2)</f>
        <v>8.67</v>
      </c>
      <c r="G5">
        <f>IF((C5)="T",1,-1)</f>
        <v>1</v>
      </c>
      <c r="H5">
        <f>IF(F5&gt;=5,F5+1,F5-1)</f>
        <v>9.67</v>
      </c>
      <c r="I5" t="str">
        <f>IF(H5&gt;=5,"Đậu","Rớt")</f>
        <v>Đậu</v>
      </c>
      <c r="J5" t="str">
        <f>IF(H5&gt;=9,"XS",IF(AND(H5&gt;=8,H5&lt;9),"Giỏi",IF(AND(H5&gt;=7,H5&lt;8),"Khá",IF(AND(H5&gt;=6.5,H5&lt;7),"TB Khá",IF(AND(H5&gt;=5,H5&lt;6.5),"TB",IF(AND(H5&gt;=3.5,H5&lt;5),"Yếu","Kém"))))))</f>
        <v>XS</v>
      </c>
    </row>
    <row r="6" spans="1:10">
      <c r="A6">
        <v>2</v>
      </c>
      <c r="B6" t="s">
        <v>30</v>
      </c>
      <c r="C6" t="s">
        <v>103</v>
      </c>
      <c r="D6">
        <v>5</v>
      </c>
      <c r="E6">
        <v>4</v>
      </c>
      <c r="F6">
        <f t="shared" ref="F6:F11" si="0">ROUND((D6+(E6*2))/3,2)</f>
        <v>4.33</v>
      </c>
      <c r="G6">
        <f t="shared" ref="G6:G11" si="1">IF((C6)="T",1,-1)</f>
        <v>1</v>
      </c>
      <c r="H6">
        <f t="shared" ref="H6:H11" si="2">IF(F6&gt;=5,F6+1,F6-1)</f>
        <v>3.33</v>
      </c>
      <c r="I6" t="str">
        <f t="shared" ref="I6:I11" si="3">IF(H6&gt;=5,"Đậu","Rớt")</f>
        <v>Rớt</v>
      </c>
      <c r="J6" t="str">
        <f t="shared" ref="J6:J11" si="4">IF(H6&gt;=9,"XS",IF(AND(H6&gt;=8,H6&lt;9),"Giỏi",IF(AND(H6&gt;=7,H6&lt;8),"Khá",IF(AND(H6&gt;=6.5,H6&lt;7),"TB Khá",IF(AND(H6&gt;=5,H6&lt;6.5),"TB",IF(AND(H6&gt;=3.5,H6&lt;5),"Yếu","Kém"))))))</f>
        <v>Kém</v>
      </c>
    </row>
    <row r="7" spans="1:10">
      <c r="A7">
        <v>3</v>
      </c>
      <c r="B7" t="s">
        <v>32</v>
      </c>
      <c r="C7" t="s">
        <v>104</v>
      </c>
      <c r="D7">
        <v>7</v>
      </c>
      <c r="E7">
        <v>8</v>
      </c>
      <c r="F7">
        <f t="shared" si="0"/>
        <v>7.67</v>
      </c>
      <c r="G7">
        <f t="shared" si="1"/>
        <v>-1</v>
      </c>
      <c r="H7">
        <f t="shared" si="2"/>
        <v>8.67</v>
      </c>
      <c r="I7" t="str">
        <f t="shared" si="3"/>
        <v>Đậu</v>
      </c>
      <c r="J7" t="str">
        <f t="shared" si="4"/>
        <v>Giỏi</v>
      </c>
    </row>
    <row r="8" spans="1:10">
      <c r="A8">
        <v>4</v>
      </c>
      <c r="B8" t="s">
        <v>100</v>
      </c>
      <c r="C8" t="s">
        <v>104</v>
      </c>
      <c r="D8">
        <v>4</v>
      </c>
      <c r="E8">
        <v>5</v>
      </c>
      <c r="F8">
        <f t="shared" si="0"/>
        <v>4.67</v>
      </c>
      <c r="G8">
        <f t="shared" si="1"/>
        <v>-1</v>
      </c>
      <c r="H8">
        <f t="shared" si="2"/>
        <v>3.67</v>
      </c>
      <c r="I8" t="str">
        <f t="shared" si="3"/>
        <v>Rớt</v>
      </c>
      <c r="J8" t="str">
        <f t="shared" si="4"/>
        <v>Yếu</v>
      </c>
    </row>
    <row r="9" spans="1:10">
      <c r="A9">
        <v>5</v>
      </c>
      <c r="B9" t="s">
        <v>34</v>
      </c>
      <c r="C9" t="s">
        <v>103</v>
      </c>
      <c r="D9">
        <v>6</v>
      </c>
      <c r="E9">
        <v>9</v>
      </c>
      <c r="F9">
        <f t="shared" si="0"/>
        <v>8</v>
      </c>
      <c r="G9">
        <f t="shared" si="1"/>
        <v>1</v>
      </c>
      <c r="H9">
        <f t="shared" si="2"/>
        <v>9</v>
      </c>
      <c r="I9" t="str">
        <f t="shared" si="3"/>
        <v>Đậu</v>
      </c>
      <c r="J9" t="str">
        <f t="shared" si="4"/>
        <v>XS</v>
      </c>
    </row>
    <row r="10" spans="1:10">
      <c r="A10">
        <v>6</v>
      </c>
      <c r="B10" t="s">
        <v>101</v>
      </c>
      <c r="C10" t="s">
        <v>103</v>
      </c>
      <c r="D10">
        <v>3</v>
      </c>
      <c r="E10">
        <v>9</v>
      </c>
      <c r="F10">
        <f t="shared" si="0"/>
        <v>7</v>
      </c>
      <c r="G10">
        <f t="shared" si="1"/>
        <v>1</v>
      </c>
      <c r="H10">
        <f t="shared" si="2"/>
        <v>8</v>
      </c>
      <c r="I10" t="str">
        <f t="shared" si="3"/>
        <v>Đậu</v>
      </c>
      <c r="J10" t="str">
        <f t="shared" si="4"/>
        <v>Giỏi</v>
      </c>
    </row>
    <row r="11" spans="1:10">
      <c r="A11">
        <v>7</v>
      </c>
      <c r="B11" t="s">
        <v>102</v>
      </c>
      <c r="C11" t="s">
        <v>103</v>
      </c>
      <c r="D11">
        <v>4</v>
      </c>
      <c r="E11">
        <v>3</v>
      </c>
      <c r="F11">
        <f t="shared" si="0"/>
        <v>3.33</v>
      </c>
      <c r="G11">
        <f t="shared" si="1"/>
        <v>1</v>
      </c>
      <c r="H11">
        <f t="shared" si="2"/>
        <v>2.33</v>
      </c>
      <c r="I11" t="str">
        <f t="shared" si="3"/>
        <v>Rớt</v>
      </c>
      <c r="J11" t="str">
        <f t="shared" si="4"/>
        <v>Kém</v>
      </c>
    </row>
  </sheetData>
  <sheetProtection password="CADB" sheet="1" objects="1" scenarios="1"/>
  <mergeCells count="10">
    <mergeCell ref="A2:J2"/>
    <mergeCell ref="A3:A4"/>
    <mergeCell ref="B3:B4"/>
    <mergeCell ref="D3:E3"/>
    <mergeCell ref="C3:C4"/>
    <mergeCell ref="F3:F4"/>
    <mergeCell ref="G3:G4"/>
    <mergeCell ref="H3:H4"/>
    <mergeCell ref="I3:I4"/>
    <mergeCell ref="J3:J4"/>
  </mergeCells>
  <phoneticPr fontId="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A2" sqref="A1:XFD1048576"/>
    </sheetView>
  </sheetViews>
  <sheetFormatPr defaultRowHeight="15.75"/>
  <cols>
    <col min="8" max="8" width="9.375" customWidth="1"/>
    <col min="9" max="10" width="9.625" customWidth="1"/>
  </cols>
  <sheetData>
    <row r="1" spans="1:11">
      <c r="A1" t="s">
        <v>415</v>
      </c>
    </row>
    <row r="2" spans="1:11">
      <c r="A2" s="45" t="s">
        <v>105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>
      <c r="A3" s="1"/>
      <c r="B3" s="1"/>
      <c r="C3" s="1"/>
      <c r="D3" s="1"/>
      <c r="E3" s="45" t="s">
        <v>119</v>
      </c>
      <c r="F3" s="45"/>
      <c r="G3" s="45"/>
      <c r="H3" s="45"/>
      <c r="I3" s="45"/>
      <c r="J3" s="1">
        <v>18</v>
      </c>
      <c r="K3" s="1"/>
    </row>
    <row r="4" spans="1:11">
      <c r="A4" s="45" t="s">
        <v>1</v>
      </c>
      <c r="B4" s="45" t="s">
        <v>106</v>
      </c>
      <c r="C4" s="45" t="s">
        <v>107</v>
      </c>
      <c r="D4" s="45" t="s">
        <v>108</v>
      </c>
      <c r="E4" s="45" t="s">
        <v>43</v>
      </c>
      <c r="F4" s="45"/>
      <c r="G4" s="45"/>
      <c r="H4" s="46" t="s">
        <v>116</v>
      </c>
      <c r="I4" s="46" t="s">
        <v>117</v>
      </c>
      <c r="J4" s="46" t="s">
        <v>118</v>
      </c>
      <c r="K4" s="45" t="s">
        <v>97</v>
      </c>
    </row>
    <row r="5" spans="1:11" ht="15.75" customHeight="1">
      <c r="A5" s="45"/>
      <c r="B5" s="45"/>
      <c r="C5" s="45"/>
      <c r="D5" s="45"/>
      <c r="E5" s="45" t="s">
        <v>113</v>
      </c>
      <c r="F5" s="45" t="s">
        <v>114</v>
      </c>
      <c r="G5" s="45" t="s">
        <v>115</v>
      </c>
      <c r="H5" s="46"/>
      <c r="I5" s="46"/>
      <c r="J5" s="45"/>
      <c r="K5" s="45"/>
    </row>
    <row r="6" spans="1:11">
      <c r="A6" s="45"/>
      <c r="B6" s="45"/>
      <c r="C6" s="45"/>
      <c r="D6" s="45"/>
      <c r="E6" s="45"/>
      <c r="F6" s="45"/>
      <c r="G6" s="45"/>
      <c r="H6" s="46"/>
      <c r="I6" s="46"/>
      <c r="J6" s="45"/>
      <c r="K6" s="45"/>
    </row>
    <row r="7" spans="1:11">
      <c r="A7">
        <v>1</v>
      </c>
      <c r="B7" s="14" t="s">
        <v>109</v>
      </c>
      <c r="C7">
        <v>1</v>
      </c>
      <c r="D7">
        <v>2</v>
      </c>
      <c r="E7">
        <v>8</v>
      </c>
      <c r="F7">
        <v>7</v>
      </c>
      <c r="G7">
        <v>8</v>
      </c>
      <c r="H7">
        <f>SUM(E7:G7)</f>
        <v>23</v>
      </c>
      <c r="I7">
        <f>IF(AND(C7=1,D7=1),1,IF(AND(C7=1,D7=2),1.5,IF(AND(C7=1,D7=3),0.5,IF(AND(C7=2,D7=1),0.5,0))))</f>
        <v>1.5</v>
      </c>
      <c r="J7">
        <f>SUM(H7:I7)</f>
        <v>24.5</v>
      </c>
      <c r="K7" t="str">
        <f>IF(J7&gt;=$J$3,"Đậu","Rớt")</f>
        <v>Đậu</v>
      </c>
    </row>
    <row r="8" spans="1:11">
      <c r="A8">
        <v>2</v>
      </c>
      <c r="B8" s="14" t="s">
        <v>110</v>
      </c>
      <c r="C8">
        <v>2</v>
      </c>
      <c r="D8">
        <v>1</v>
      </c>
      <c r="E8">
        <v>5</v>
      </c>
      <c r="F8">
        <v>6</v>
      </c>
      <c r="G8">
        <v>7</v>
      </c>
      <c r="H8">
        <f t="shared" ref="H8:H13" si="0">SUM(E8:G8)</f>
        <v>18</v>
      </c>
      <c r="I8">
        <f t="shared" ref="I8:I13" si="1">IF(AND(C8=1,D8=1),1,IF(AND(C8=1,D8=2),1.5,IF(AND(C8=1,D8=3),0.5,IF(AND(C8=2,D8=1),0.5,0))))</f>
        <v>0.5</v>
      </c>
      <c r="J8">
        <f t="shared" ref="J8:J13" si="2">SUM(H8:I8)</f>
        <v>18.5</v>
      </c>
      <c r="K8" t="str">
        <f t="shared" ref="K8:K13" si="3">IF(J8&gt;=$J$3,"Đậu","Rớt")</f>
        <v>Đậu</v>
      </c>
    </row>
    <row r="9" spans="1:11">
      <c r="A9">
        <v>3</v>
      </c>
      <c r="B9" s="14" t="s">
        <v>111</v>
      </c>
      <c r="C9">
        <v>1</v>
      </c>
      <c r="D9">
        <v>2</v>
      </c>
      <c r="E9">
        <v>7</v>
      </c>
      <c r="F9">
        <v>6</v>
      </c>
      <c r="G9">
        <v>6</v>
      </c>
      <c r="H9">
        <f t="shared" si="0"/>
        <v>19</v>
      </c>
      <c r="I9">
        <f t="shared" si="1"/>
        <v>1.5</v>
      </c>
      <c r="J9">
        <f t="shared" si="2"/>
        <v>20.5</v>
      </c>
      <c r="K9" t="str">
        <f t="shared" si="3"/>
        <v>Đậu</v>
      </c>
    </row>
    <row r="10" spans="1:11">
      <c r="A10">
        <v>4</v>
      </c>
      <c r="B10" s="14" t="s">
        <v>112</v>
      </c>
      <c r="C10">
        <v>3</v>
      </c>
      <c r="D10">
        <v>1</v>
      </c>
      <c r="E10">
        <v>4</v>
      </c>
      <c r="F10">
        <v>5</v>
      </c>
      <c r="G10">
        <v>6</v>
      </c>
      <c r="H10">
        <f t="shared" si="0"/>
        <v>15</v>
      </c>
      <c r="I10">
        <f t="shared" si="1"/>
        <v>0</v>
      </c>
      <c r="J10">
        <f t="shared" si="2"/>
        <v>15</v>
      </c>
      <c r="K10" t="str">
        <f t="shared" si="3"/>
        <v>Rớt</v>
      </c>
    </row>
    <row r="11" spans="1:11">
      <c r="A11">
        <v>5</v>
      </c>
      <c r="B11" s="1">
        <v>1203</v>
      </c>
      <c r="C11">
        <v>1</v>
      </c>
      <c r="D11">
        <v>3</v>
      </c>
      <c r="E11">
        <v>6</v>
      </c>
      <c r="F11">
        <v>6</v>
      </c>
      <c r="G11">
        <v>7</v>
      </c>
      <c r="H11">
        <f t="shared" si="0"/>
        <v>19</v>
      </c>
      <c r="I11">
        <f t="shared" si="1"/>
        <v>0.5</v>
      </c>
      <c r="J11">
        <f t="shared" si="2"/>
        <v>19.5</v>
      </c>
      <c r="K11" t="str">
        <f t="shared" si="3"/>
        <v>Đậu</v>
      </c>
    </row>
    <row r="12" spans="1:11">
      <c r="A12">
        <v>6</v>
      </c>
      <c r="B12" s="1">
        <v>1507</v>
      </c>
      <c r="C12">
        <v>3</v>
      </c>
      <c r="D12">
        <v>2</v>
      </c>
      <c r="E12">
        <v>3</v>
      </c>
      <c r="F12">
        <v>4</v>
      </c>
      <c r="G12">
        <v>6</v>
      </c>
      <c r="H12">
        <f t="shared" si="0"/>
        <v>13</v>
      </c>
      <c r="I12">
        <f t="shared" si="1"/>
        <v>0</v>
      </c>
      <c r="J12">
        <f t="shared" si="2"/>
        <v>13</v>
      </c>
      <c r="K12" t="str">
        <f t="shared" si="3"/>
        <v>Rớt</v>
      </c>
    </row>
    <row r="13" spans="1:11">
      <c r="A13">
        <v>7</v>
      </c>
      <c r="B13" s="1">
        <v>1692</v>
      </c>
      <c r="C13">
        <v>2</v>
      </c>
      <c r="D13">
        <v>1</v>
      </c>
      <c r="E13">
        <v>4</v>
      </c>
      <c r="F13">
        <v>4</v>
      </c>
      <c r="G13">
        <v>5</v>
      </c>
      <c r="H13">
        <f t="shared" si="0"/>
        <v>13</v>
      </c>
      <c r="I13">
        <f t="shared" si="1"/>
        <v>0.5</v>
      </c>
      <c r="J13">
        <f t="shared" si="2"/>
        <v>13.5</v>
      </c>
      <c r="K13" t="str">
        <f t="shared" si="3"/>
        <v>Rớt</v>
      </c>
    </row>
  </sheetData>
  <sheetProtection password="CADB" sheet="1" objects="1" scenarios="1"/>
  <mergeCells count="14">
    <mergeCell ref="I4:I6"/>
    <mergeCell ref="J4:J6"/>
    <mergeCell ref="E4:G4"/>
    <mergeCell ref="G5:G6"/>
    <mergeCell ref="A2:K2"/>
    <mergeCell ref="A4:A6"/>
    <mergeCell ref="B4:B6"/>
    <mergeCell ref="C4:C6"/>
    <mergeCell ref="D4:D6"/>
    <mergeCell ref="E5:E6"/>
    <mergeCell ref="F5:F6"/>
    <mergeCell ref="H4:H6"/>
    <mergeCell ref="E3:I3"/>
    <mergeCell ref="K4:K6"/>
  </mergeCells>
  <phoneticPr fontId="0" type="noConversion"/>
  <pageMargins left="0.7" right="0.7" top="0.75" bottom="0.75" header="0.3" footer="0.3"/>
  <ignoredErrors>
    <ignoredError sqref="H7:H13" formulaRange="1"/>
    <ignoredError sqref="B7:B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bai 1</vt:lpstr>
      <vt:lpstr>Bài 2</vt:lpstr>
      <vt:lpstr>Bài 3</vt:lpstr>
      <vt:lpstr>Bài 4</vt:lpstr>
      <vt:lpstr>Bài 5</vt:lpstr>
      <vt:lpstr>Bài 6</vt:lpstr>
      <vt:lpstr>Bài 7</vt:lpstr>
      <vt:lpstr>Bài 8</vt:lpstr>
      <vt:lpstr>Bài 9</vt:lpstr>
      <vt:lpstr>Bài 10</vt:lpstr>
      <vt:lpstr>Bài 11</vt:lpstr>
      <vt:lpstr>Bài 12</vt:lpstr>
      <vt:lpstr>Bài 13</vt:lpstr>
      <vt:lpstr>Bài 14</vt:lpstr>
      <vt:lpstr>Bài 15</vt:lpstr>
      <vt:lpstr>Bài 16</vt:lpstr>
      <vt:lpstr>Bài 17</vt:lpstr>
      <vt:lpstr>Bài 18</vt:lpstr>
      <vt:lpstr>Bài 19</vt:lpstr>
      <vt:lpstr>Bài 20</vt:lpstr>
      <vt:lpstr>Bài 21</vt:lpstr>
      <vt:lpstr>Bài 22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BÙI HOÀN NHÂN</dc:creator>
  <cp:lastModifiedBy>HOAN NHAN</cp:lastModifiedBy>
  <dcterms:created xsi:type="dcterms:W3CDTF">2010-03-05T11:24:31Z</dcterms:created>
  <dcterms:modified xsi:type="dcterms:W3CDTF">2010-04-22T10:57:23Z</dcterms:modified>
</cp:coreProperties>
</file>